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CIRCULARES ASETRABI\2021 Documentación Circulares\"/>
    </mc:Choice>
  </mc:AlternateContent>
  <xr:revisionPtr revIDLastSave="0" documentId="8_{D6637656-0E92-48FB-BAA8-74D11D027D68}" xr6:coauthVersionLast="46" xr6:coauthVersionMax="46" xr10:uidLastSave="{00000000-0000-0000-0000-000000000000}"/>
  <bookViews>
    <workbookView xWindow="-108" yWindow="-108" windowWidth="23256" windowHeight="12576" tabRatio="378" xr2:uid="{00000000-000D-0000-FFFF-FFFF00000000}"/>
  </bookViews>
  <sheets>
    <sheet name="PARAMETROS" sheetId="6" r:id="rId1"/>
    <sheet name="Buss Case e-CMR" sheetId="3" r:id="rId2"/>
    <sheet name="GRÁFICAS" sheetId="7" r:id="rId3"/>
  </sheets>
  <definedNames>
    <definedName name="_xlnm.Print_Area" localSheetId="1">'Buss Case e-CMR'!$A$17:$Y$93</definedName>
    <definedName name="_xlnm.Print_Area" localSheetId="2">GRÁFICAS!$A$16:$R$58</definedName>
    <definedName name="_xlnm.Print_Area" localSheetId="0">PARAMETROS!$A$2:$U$67</definedName>
    <definedName name="COLPE" localSheetId="0">#REF!</definedName>
    <definedName name="COLPE">#REF!</definedName>
    <definedName name="colPersonalCentrosDeCoste" localSheetId="1">#REF!</definedName>
    <definedName name="colPersonalCentrosDeCoste" localSheetId="0">#REF!</definedName>
    <definedName name="colPersonalCentrosDeCoste">#REF!</definedName>
    <definedName name="colPersonalCosteMensual" localSheetId="1">#REF!</definedName>
    <definedName name="colPersonalCosteMensual" localSheetId="0">#REF!</definedName>
    <definedName name="colPersonalCosteMensual">#REF!</definedName>
    <definedName name="colPersonalDirecciones" localSheetId="1">#REF!</definedName>
    <definedName name="colPersonalDirecciones" localSheetId="0">#REF!</definedName>
    <definedName name="colPersonalDirecciones">#REF!</definedName>
    <definedName name="colPersonalSINo" localSheetId="1">#REF!</definedName>
    <definedName name="colPersonalSINo" localSheetId="0">#REF!</definedName>
    <definedName name="colPersonalSINo">#REF!</definedName>
    <definedName name="cphj" localSheetId="1">#REF!</definedName>
    <definedName name="cphj" localSheetId="0">#REF!</definedName>
    <definedName name="cphj">#REF!</definedName>
    <definedName name="ddd" localSheetId="0">#REF!</definedName>
    <definedName name="ddd">#REF!</definedName>
    <definedName name="ds" localSheetId="0">#REF!</definedName>
    <definedName name="ds">#REF!</definedName>
    <definedName name="eedd" localSheetId="0">#REF!</definedName>
    <definedName name="eedd">#REF!</definedName>
    <definedName name="ewqerw" localSheetId="0">#REF!</definedName>
    <definedName name="ewqerw">#REF!</definedName>
    <definedName name="fgtfg" localSheetId="1">#REF!</definedName>
    <definedName name="fgtfg" localSheetId="0">#REF!</definedName>
    <definedName name="fgtfg">#REF!</definedName>
    <definedName name="Parámetros" localSheetId="0">#REF!</definedName>
    <definedName name="Parámetros">#REF!</definedName>
    <definedName name="PÒP" localSheetId="0">#REF!</definedName>
    <definedName name="PÒP">#REF!</definedName>
    <definedName name="rgrqwrew3r2" localSheetId="0">#REF!</definedName>
    <definedName name="rgrqwrew3r2">#REF!</definedName>
    <definedName name="RTTR3W" localSheetId="0">#REF!</definedName>
    <definedName name="RTTR3W">#REF!</definedName>
    <definedName name="ruyyyyyyyyy" localSheetId="0">#REF!</definedName>
    <definedName name="ruyyyyyyyyy">#REF!</definedName>
    <definedName name="weqeew" localSheetId="0">#REF!</definedName>
    <definedName name="weqeew">#REF!</definedName>
    <definedName name="zxawqwe" localSheetId="0">#REF!</definedName>
    <definedName name="zxawqwe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6" i="7" l="1"/>
  <c r="H56" i="7"/>
  <c r="G55" i="7"/>
  <c r="H55" i="7"/>
  <c r="G52" i="7"/>
  <c r="G53" i="7"/>
  <c r="H53" i="7"/>
  <c r="H52" i="7"/>
  <c r="G50" i="7"/>
  <c r="H50" i="7"/>
  <c r="G49" i="7"/>
  <c r="H49" i="7"/>
  <c r="G38" i="6"/>
  <c r="G40" i="6" s="1"/>
  <c r="G47" i="7"/>
  <c r="G48" i="7"/>
  <c r="H48" i="7"/>
  <c r="H47" i="7"/>
  <c r="G46" i="7"/>
  <c r="H46" i="7"/>
  <c r="G44" i="7"/>
  <c r="G45" i="7"/>
  <c r="H45" i="7"/>
  <c r="H44" i="7"/>
  <c r="G43" i="7"/>
  <c r="H43" i="7"/>
  <c r="G42" i="7"/>
  <c r="H42" i="7"/>
  <c r="G40" i="7"/>
  <c r="K5" i="7"/>
  <c r="L5" i="7"/>
  <c r="M5" i="7"/>
  <c r="N5" i="7"/>
  <c r="O5" i="7"/>
  <c r="P5" i="7"/>
  <c r="Q5" i="7"/>
  <c r="R5" i="7"/>
  <c r="F14" i="7"/>
  <c r="F13" i="7"/>
  <c r="F12" i="7"/>
  <c r="G2" i="7"/>
  <c r="F10" i="7"/>
  <c r="F9" i="7"/>
  <c r="F8" i="7"/>
  <c r="H5" i="7"/>
  <c r="I5" i="7"/>
  <c r="J5" i="7"/>
  <c r="G5" i="7"/>
  <c r="E7" i="7"/>
  <c r="U18" i="6"/>
  <c r="D8" i="6" s="1"/>
  <c r="S18" i="6"/>
  <c r="D7" i="6" s="1"/>
  <c r="H40" i="7" s="1"/>
  <c r="J39" i="3"/>
  <c r="L39" i="3" s="1"/>
  <c r="M39" i="3" s="1"/>
  <c r="N39" i="3" s="1"/>
  <c r="O39" i="3" s="1"/>
  <c r="P39" i="3" s="1"/>
  <c r="Q39" i="3" s="1"/>
  <c r="R39" i="3" s="1"/>
  <c r="S39" i="3" s="1"/>
  <c r="T39" i="3" s="1"/>
  <c r="U39" i="3" s="1"/>
  <c r="V39" i="3" s="1"/>
  <c r="W39" i="3" s="1"/>
  <c r="G21" i="6"/>
  <c r="G23" i="6" s="1"/>
  <c r="H13" i="6"/>
  <c r="H38" i="6" s="1"/>
  <c r="D14" i="6"/>
  <c r="H14" i="6" s="1"/>
  <c r="H51" i="6" s="1"/>
  <c r="H26" i="6"/>
  <c r="H5" i="6"/>
  <c r="H6" i="6" s="1"/>
  <c r="H50" i="6" l="1"/>
  <c r="J27" i="3" s="1"/>
  <c r="H2" i="7"/>
  <c r="H3" i="7" s="1"/>
  <c r="I2" i="7" s="1"/>
  <c r="H8" i="6"/>
  <c r="H7" i="6"/>
  <c r="H17" i="6"/>
  <c r="H18" i="6"/>
  <c r="F38" i="6"/>
  <c r="J22" i="6"/>
  <c r="H39" i="6"/>
  <c r="H40" i="6" s="1"/>
  <c r="H44" i="6" s="1"/>
  <c r="F39" i="6"/>
  <c r="F41" i="6" l="1"/>
  <c r="J25" i="3" s="1"/>
  <c r="L27" i="3"/>
  <c r="M27" i="3" s="1"/>
  <c r="N27" i="3" s="1"/>
  <c r="O27" i="3" s="1"/>
  <c r="P27" i="3" s="1"/>
  <c r="Q27" i="3" s="1"/>
  <c r="R27" i="3" s="1"/>
  <c r="S27" i="3" s="1"/>
  <c r="T27" i="3" s="1"/>
  <c r="U27" i="3" s="1"/>
  <c r="V27" i="3" s="1"/>
  <c r="W27" i="3" s="1"/>
  <c r="T44" i="7"/>
  <c r="F19" i="3"/>
  <c r="D65" i="6"/>
  <c r="H65" i="6" s="1"/>
  <c r="D57" i="6"/>
  <c r="H57" i="6" s="1"/>
  <c r="F40" i="6"/>
  <c r="H10" i="6"/>
  <c r="J34" i="3" s="1"/>
  <c r="L34" i="3" s="1"/>
  <c r="M34" i="3" s="1"/>
  <c r="N34" i="3" s="1"/>
  <c r="O34" i="3" s="1"/>
  <c r="H9" i="6"/>
  <c r="J23" i="3" s="1"/>
  <c r="I3" i="7"/>
  <c r="J2" i="7" s="1"/>
  <c r="H45" i="6"/>
  <c r="J38" i="3" s="1"/>
  <c r="L38" i="3" s="1"/>
  <c r="J26" i="3"/>
  <c r="H30" i="6"/>
  <c r="J36" i="3" s="1"/>
  <c r="L36" i="3" s="1"/>
  <c r="M36" i="3" s="1"/>
  <c r="N36" i="3" s="1"/>
  <c r="O36" i="3" s="1"/>
  <c r="P36" i="3" s="1"/>
  <c r="Q36" i="3" s="1"/>
  <c r="R36" i="3" s="1"/>
  <c r="S36" i="3" s="1"/>
  <c r="T36" i="3" s="1"/>
  <c r="U36" i="3" s="1"/>
  <c r="V36" i="3" s="1"/>
  <c r="W36" i="3" s="1"/>
  <c r="H27" i="6"/>
  <c r="J24" i="3" s="1"/>
  <c r="H29" i="6"/>
  <c r="J35" i="3" s="1"/>
  <c r="L35" i="3" s="1"/>
  <c r="M35" i="3" s="1"/>
  <c r="N35" i="3" s="1"/>
  <c r="O35" i="3" s="1"/>
  <c r="P35" i="3" s="1"/>
  <c r="Q35" i="3" s="1"/>
  <c r="R35" i="3" s="1"/>
  <c r="S35" i="3" s="1"/>
  <c r="T35" i="3" s="1"/>
  <c r="U35" i="3" s="1"/>
  <c r="V35" i="3" s="1"/>
  <c r="W35" i="3" s="1"/>
  <c r="H42" i="6" l="1"/>
  <c r="J37" i="3" s="1"/>
  <c r="L37" i="3" s="1"/>
  <c r="M37" i="3" s="1"/>
  <c r="N37" i="3" s="1"/>
  <c r="O37" i="3" s="1"/>
  <c r="P37" i="3" s="1"/>
  <c r="Q37" i="3" s="1"/>
  <c r="R37" i="3" s="1"/>
  <c r="S37" i="3" s="1"/>
  <c r="T37" i="3" s="1"/>
  <c r="U37" i="3" s="1"/>
  <c r="V37" i="3" s="1"/>
  <c r="W37" i="3" s="1"/>
  <c r="L24" i="3"/>
  <c r="M24" i="3" s="1"/>
  <c r="N24" i="3" s="1"/>
  <c r="O24" i="3" s="1"/>
  <c r="P24" i="3" s="1"/>
  <c r="Q24" i="3" s="1"/>
  <c r="R24" i="3" s="1"/>
  <c r="S24" i="3" s="1"/>
  <c r="T24" i="3" s="1"/>
  <c r="U24" i="3" s="1"/>
  <c r="V24" i="3" s="1"/>
  <c r="W24" i="3" s="1"/>
  <c r="T41" i="7"/>
  <c r="L23" i="3"/>
  <c r="M23" i="3" s="1"/>
  <c r="N23" i="3" s="1"/>
  <c r="O23" i="3" s="1"/>
  <c r="P23" i="3" s="1"/>
  <c r="Q23" i="3" s="1"/>
  <c r="R23" i="3" s="1"/>
  <c r="S23" i="3" s="1"/>
  <c r="T23" i="3" s="1"/>
  <c r="U23" i="3" s="1"/>
  <c r="V23" i="3" s="1"/>
  <c r="W23" i="3" s="1"/>
  <c r="T40" i="7"/>
  <c r="L25" i="3"/>
  <c r="M25" i="3" s="1"/>
  <c r="N25" i="3" s="1"/>
  <c r="O25" i="3" s="1"/>
  <c r="P25" i="3" s="1"/>
  <c r="Q25" i="3" s="1"/>
  <c r="R25" i="3" s="1"/>
  <c r="S25" i="3" s="1"/>
  <c r="T25" i="3" s="1"/>
  <c r="U25" i="3" s="1"/>
  <c r="V25" i="3" s="1"/>
  <c r="W25" i="3" s="1"/>
  <c r="L26" i="3"/>
  <c r="M26" i="3" s="1"/>
  <c r="N26" i="3" s="1"/>
  <c r="O26" i="3" s="1"/>
  <c r="P26" i="3" s="1"/>
  <c r="Q26" i="3" s="1"/>
  <c r="R26" i="3" s="1"/>
  <c r="S26" i="3" s="1"/>
  <c r="T26" i="3" s="1"/>
  <c r="U26" i="3" s="1"/>
  <c r="V26" i="3" s="1"/>
  <c r="W26" i="3" s="1"/>
  <c r="T43" i="7"/>
  <c r="H66" i="6"/>
  <c r="J41" i="3" s="1"/>
  <c r="L41" i="3" s="1"/>
  <c r="M41" i="3" s="1"/>
  <c r="N41" i="3" s="1"/>
  <c r="O41" i="3" s="1"/>
  <c r="P41" i="3" s="1"/>
  <c r="Q41" i="3" s="1"/>
  <c r="R41" i="3" s="1"/>
  <c r="S41" i="3" s="1"/>
  <c r="T41" i="3" s="1"/>
  <c r="U41" i="3" s="1"/>
  <c r="V41" i="3" s="1"/>
  <c r="W41" i="3" s="1"/>
  <c r="J29" i="3"/>
  <c r="H59" i="6"/>
  <c r="J40" i="3" s="1"/>
  <c r="L40" i="3" s="1"/>
  <c r="M40" i="3" s="1"/>
  <c r="N40" i="3" s="1"/>
  <c r="O40" i="3" s="1"/>
  <c r="P40" i="3" s="1"/>
  <c r="Q40" i="3" s="1"/>
  <c r="R40" i="3" s="1"/>
  <c r="S40" i="3" s="1"/>
  <c r="T40" i="3" s="1"/>
  <c r="U40" i="3" s="1"/>
  <c r="V40" i="3" s="1"/>
  <c r="W40" i="3" s="1"/>
  <c r="J28" i="3"/>
  <c r="J3" i="7"/>
  <c r="K2" i="7" s="1"/>
  <c r="P34" i="3"/>
  <c r="M38" i="3"/>
  <c r="T42" i="7" l="1"/>
  <c r="L28" i="3"/>
  <c r="M28" i="3" s="1"/>
  <c r="N28" i="3" s="1"/>
  <c r="O28" i="3" s="1"/>
  <c r="P28" i="3" s="1"/>
  <c r="Q28" i="3" s="1"/>
  <c r="R28" i="3" s="1"/>
  <c r="S28" i="3" s="1"/>
  <c r="T28" i="3" s="1"/>
  <c r="U28" i="3" s="1"/>
  <c r="V28" i="3" s="1"/>
  <c r="W28" i="3" s="1"/>
  <c r="T45" i="7"/>
  <c r="L29" i="3"/>
  <c r="M29" i="3" s="1"/>
  <c r="N29" i="3" s="1"/>
  <c r="O29" i="3" s="1"/>
  <c r="P29" i="3" s="1"/>
  <c r="Q29" i="3" s="1"/>
  <c r="R29" i="3" s="1"/>
  <c r="S29" i="3" s="1"/>
  <c r="T29" i="3" s="1"/>
  <c r="U29" i="3" s="1"/>
  <c r="V29" i="3" s="1"/>
  <c r="W29" i="3" s="1"/>
  <c r="T46" i="7"/>
  <c r="L42" i="3"/>
  <c r="L85" i="3" s="1"/>
  <c r="J42" i="3"/>
  <c r="H42" i="3" s="1"/>
  <c r="K3" i="7"/>
  <c r="L2" i="7" s="1"/>
  <c r="Q34" i="3"/>
  <c r="N38" i="3"/>
  <c r="M42" i="3"/>
  <c r="L70" i="3" l="1"/>
  <c r="L71" i="3" s="1"/>
  <c r="L74" i="3" s="1"/>
  <c r="L55" i="3"/>
  <c r="L56" i="3" s="1"/>
  <c r="L59" i="3" s="1"/>
  <c r="L3" i="7"/>
  <c r="M2" i="7" s="1"/>
  <c r="L86" i="3"/>
  <c r="L89" i="3" s="1"/>
  <c r="O38" i="3"/>
  <c r="N42" i="3"/>
  <c r="R34" i="3"/>
  <c r="W30" i="3"/>
  <c r="V30" i="3"/>
  <c r="U30" i="3"/>
  <c r="T30" i="3"/>
  <c r="S30" i="3"/>
  <c r="R30" i="3"/>
  <c r="Q30" i="3"/>
  <c r="P30" i="3"/>
  <c r="O30" i="3"/>
  <c r="L30" i="3"/>
  <c r="M30" i="3"/>
  <c r="M45" i="3" s="1"/>
  <c r="H7" i="7" s="1"/>
  <c r="N30" i="3"/>
  <c r="M55" i="3" l="1"/>
  <c r="M56" i="3" s="1"/>
  <c r="M59" i="3" s="1"/>
  <c r="M3" i="7"/>
  <c r="N2" i="7" s="1"/>
  <c r="M85" i="3"/>
  <c r="L67" i="3"/>
  <c r="L82" i="3"/>
  <c r="L83" i="3" s="1"/>
  <c r="L52" i="3"/>
  <c r="L53" i="3" s="1"/>
  <c r="M52" i="3" s="1"/>
  <c r="M70" i="3"/>
  <c r="N45" i="3"/>
  <c r="I7" i="7" s="1"/>
  <c r="P38" i="3"/>
  <c r="O42" i="3"/>
  <c r="O45" i="3" s="1"/>
  <c r="J7" i="7" s="1"/>
  <c r="L45" i="3"/>
  <c r="G7" i="7" s="1"/>
  <c r="S34" i="3"/>
  <c r="J14" i="3"/>
  <c r="U13" i="3"/>
  <c r="T13" i="3"/>
  <c r="S13" i="3"/>
  <c r="R13" i="3"/>
  <c r="Q13" i="3"/>
  <c r="P13" i="3"/>
  <c r="O13" i="3"/>
  <c r="N13" i="3"/>
  <c r="M13" i="3"/>
  <c r="L13" i="3"/>
  <c r="J13" i="3" s="1"/>
  <c r="U12" i="3"/>
  <c r="T12" i="3"/>
  <c r="S12" i="3"/>
  <c r="R12" i="3"/>
  <c r="Q12" i="3"/>
  <c r="P12" i="3"/>
  <c r="O12" i="3"/>
  <c r="N12" i="3"/>
  <c r="M12" i="3"/>
  <c r="L12" i="3"/>
  <c r="J12" i="3" s="1"/>
  <c r="U11" i="3"/>
  <c r="T11" i="3"/>
  <c r="S11" i="3"/>
  <c r="R11" i="3"/>
  <c r="Q11" i="3"/>
  <c r="P11" i="3"/>
  <c r="O11" i="3"/>
  <c r="N11" i="3"/>
  <c r="M11" i="3"/>
  <c r="L11" i="3"/>
  <c r="J11" i="3" s="1"/>
  <c r="U10" i="3"/>
  <c r="T10" i="3"/>
  <c r="S10" i="3"/>
  <c r="R10" i="3"/>
  <c r="Q10" i="3"/>
  <c r="P10" i="3"/>
  <c r="O10" i="3"/>
  <c r="N10" i="3"/>
  <c r="M10" i="3"/>
  <c r="L10" i="3"/>
  <c r="J10" i="3" s="1"/>
  <c r="U9" i="3"/>
  <c r="T9" i="3"/>
  <c r="S9" i="3"/>
  <c r="R9" i="3"/>
  <c r="Q9" i="3"/>
  <c r="P9" i="3"/>
  <c r="O9" i="3"/>
  <c r="N9" i="3"/>
  <c r="M9" i="3"/>
  <c r="L9" i="3"/>
  <c r="J9" i="3" s="1"/>
  <c r="U8" i="3"/>
  <c r="T8" i="3"/>
  <c r="S8" i="3"/>
  <c r="R8" i="3"/>
  <c r="Q8" i="3"/>
  <c r="P8" i="3"/>
  <c r="O8" i="3"/>
  <c r="N8" i="3"/>
  <c r="M8" i="3"/>
  <c r="L8" i="3"/>
  <c r="J8" i="3" s="1"/>
  <c r="U7" i="3"/>
  <c r="T7" i="3"/>
  <c r="S7" i="3"/>
  <c r="R7" i="3"/>
  <c r="Q7" i="3"/>
  <c r="P7" i="3"/>
  <c r="O7" i="3"/>
  <c r="N7" i="3"/>
  <c r="M7" i="3"/>
  <c r="L7" i="3"/>
  <c r="J7" i="3" s="1"/>
  <c r="U6" i="3"/>
  <c r="T6" i="3"/>
  <c r="S6" i="3"/>
  <c r="R6" i="3"/>
  <c r="Q6" i="3"/>
  <c r="P6" i="3"/>
  <c r="O6" i="3"/>
  <c r="N6" i="3"/>
  <c r="M6" i="3"/>
  <c r="L6" i="3"/>
  <c r="J6" i="3" s="1"/>
  <c r="U5" i="3"/>
  <c r="U15" i="3" s="1"/>
  <c r="T5" i="3"/>
  <c r="T15" i="3" s="1"/>
  <c r="S5" i="3"/>
  <c r="S15" i="3" s="1"/>
  <c r="R5" i="3"/>
  <c r="R15" i="3" s="1"/>
  <c r="Q5" i="3"/>
  <c r="Q15" i="3" s="1"/>
  <c r="P5" i="3"/>
  <c r="P15" i="3" s="1"/>
  <c r="O5" i="3"/>
  <c r="O15" i="3" s="1"/>
  <c r="N5" i="3"/>
  <c r="N15" i="3" s="1"/>
  <c r="M5" i="3"/>
  <c r="M15" i="3" s="1"/>
  <c r="L5" i="3"/>
  <c r="L15" i="3" s="1"/>
  <c r="N3" i="7" l="1"/>
  <c r="O2" i="7" s="1"/>
  <c r="M86" i="3"/>
  <c r="M89" i="3" s="1"/>
  <c r="M71" i="3"/>
  <c r="M74" i="3" s="1"/>
  <c r="L68" i="3"/>
  <c r="M67" i="3" s="1"/>
  <c r="M68" i="3" s="1"/>
  <c r="L88" i="3"/>
  <c r="L91" i="3" s="1"/>
  <c r="G10" i="7" s="1"/>
  <c r="M82" i="3"/>
  <c r="M83" i="3" s="1"/>
  <c r="N55" i="3"/>
  <c r="M53" i="3"/>
  <c r="N52" i="3" s="1"/>
  <c r="L58" i="3"/>
  <c r="L61" i="3" s="1"/>
  <c r="Q38" i="3"/>
  <c r="P42" i="3"/>
  <c r="T34" i="3"/>
  <c r="L47" i="3"/>
  <c r="M47" i="3" s="1"/>
  <c r="N47" i="3" s="1"/>
  <c r="O47" i="3" s="1"/>
  <c r="J30" i="3"/>
  <c r="H30" i="3" s="1"/>
  <c r="J5" i="3"/>
  <c r="J15" i="3" s="1"/>
  <c r="T48" i="7" l="1"/>
  <c r="O3" i="7"/>
  <c r="P2" i="7" s="1"/>
  <c r="L63" i="3"/>
  <c r="G12" i="7" s="1"/>
  <c r="G8" i="7"/>
  <c r="N85" i="3"/>
  <c r="L93" i="3"/>
  <c r="G14" i="7" s="1"/>
  <c r="N82" i="3"/>
  <c r="N83" i="3" s="1"/>
  <c r="M73" i="3"/>
  <c r="M76" i="3" s="1"/>
  <c r="H9" i="7" s="1"/>
  <c r="N67" i="3"/>
  <c r="L73" i="3"/>
  <c r="L76" i="3" s="1"/>
  <c r="N70" i="3"/>
  <c r="N56" i="3"/>
  <c r="N59" i="3" s="1"/>
  <c r="N53" i="3"/>
  <c r="O52" i="3" s="1"/>
  <c r="M58" i="3"/>
  <c r="M61" i="3" s="1"/>
  <c r="P45" i="3"/>
  <c r="R38" i="3"/>
  <c r="Q42" i="3"/>
  <c r="Q45" i="3" s="1"/>
  <c r="L7" i="7" s="1"/>
  <c r="U34" i="3"/>
  <c r="P47" i="3" l="1"/>
  <c r="Q47" i="3" s="1"/>
  <c r="K7" i="7"/>
  <c r="L78" i="3"/>
  <c r="G13" i="7" s="1"/>
  <c r="G9" i="7"/>
  <c r="P3" i="7"/>
  <c r="Q2" i="7" s="1"/>
  <c r="M63" i="3"/>
  <c r="H12" i="7" s="1"/>
  <c r="H8" i="7"/>
  <c r="N86" i="3"/>
  <c r="N89" i="3" s="1"/>
  <c r="O82" i="3"/>
  <c r="O83" i="3" s="1"/>
  <c r="N71" i="3"/>
  <c r="N74" i="3" s="1"/>
  <c r="N68" i="3"/>
  <c r="O67" i="3" s="1"/>
  <c r="M88" i="3"/>
  <c r="M91" i="3" s="1"/>
  <c r="N58" i="3"/>
  <c r="N61" i="3" s="1"/>
  <c r="O53" i="3"/>
  <c r="P52" i="3" s="1"/>
  <c r="O55" i="3"/>
  <c r="S38" i="3"/>
  <c r="R42" i="3"/>
  <c r="R45" i="3" s="1"/>
  <c r="M7" i="7" s="1"/>
  <c r="V34" i="3"/>
  <c r="M78" i="3" l="1"/>
  <c r="H13" i="7" s="1"/>
  <c r="Q3" i="7"/>
  <c r="R2" i="7" s="1"/>
  <c r="N63" i="3"/>
  <c r="I12" i="7" s="1"/>
  <c r="I8" i="7"/>
  <c r="M93" i="3"/>
  <c r="H14" i="7" s="1"/>
  <c r="H10" i="7"/>
  <c r="O85" i="3"/>
  <c r="N88" i="3"/>
  <c r="N91" i="3" s="1"/>
  <c r="O68" i="3"/>
  <c r="P67" i="3" s="1"/>
  <c r="O88" i="3"/>
  <c r="P82" i="3"/>
  <c r="P83" i="3" s="1"/>
  <c r="N73" i="3"/>
  <c r="N76" i="3" s="1"/>
  <c r="O70" i="3"/>
  <c r="R47" i="3"/>
  <c r="P53" i="3"/>
  <c r="Q52" i="3" s="1"/>
  <c r="O56" i="3"/>
  <c r="O59" i="3" s="1"/>
  <c r="O58" i="3"/>
  <c r="T38" i="3"/>
  <c r="S42" i="3"/>
  <c r="S45" i="3" s="1"/>
  <c r="N7" i="7" s="1"/>
  <c r="W34" i="3"/>
  <c r="N78" i="3" l="1"/>
  <c r="I13" i="7" s="1"/>
  <c r="I9" i="7"/>
  <c r="R3" i="7"/>
  <c r="N93" i="3"/>
  <c r="I14" i="7" s="1"/>
  <c r="I10" i="7"/>
  <c r="O73" i="3"/>
  <c r="O86" i="3"/>
  <c r="O89" i="3" s="1"/>
  <c r="O91" i="3" s="1"/>
  <c r="P88" i="3"/>
  <c r="Q82" i="3"/>
  <c r="Q83" i="3" s="1"/>
  <c r="O71" i="3"/>
  <c r="O74" i="3" s="1"/>
  <c r="P68" i="3"/>
  <c r="Q67" i="3" s="1"/>
  <c r="O61" i="3"/>
  <c r="S47" i="3"/>
  <c r="Q53" i="3"/>
  <c r="R52" i="3" s="1"/>
  <c r="P55" i="3"/>
  <c r="P58" i="3"/>
  <c r="U38" i="3"/>
  <c r="T42" i="3"/>
  <c r="T45" i="3" s="1"/>
  <c r="O7" i="7" s="1"/>
  <c r="O76" i="3" l="1"/>
  <c r="O78" i="3" s="1"/>
  <c r="J13" i="7" s="1"/>
  <c r="O63" i="3"/>
  <c r="J12" i="7" s="1"/>
  <c r="J8" i="7"/>
  <c r="O93" i="3"/>
  <c r="J14" i="7" s="1"/>
  <c r="J10" i="7"/>
  <c r="P85" i="3"/>
  <c r="Q68" i="3"/>
  <c r="R67" i="3" s="1"/>
  <c r="Q88" i="3"/>
  <c r="R82" i="3"/>
  <c r="R83" i="3" s="1"/>
  <c r="P70" i="3"/>
  <c r="P73" i="3"/>
  <c r="T47" i="3"/>
  <c r="P56" i="3"/>
  <c r="P59" i="3" s="1"/>
  <c r="P61" i="3" s="1"/>
  <c r="R53" i="3"/>
  <c r="S52" i="3" s="1"/>
  <c r="Q58" i="3"/>
  <c r="V38" i="3"/>
  <c r="U42" i="3"/>
  <c r="U45" i="3" s="1"/>
  <c r="P7" i="7" s="1"/>
  <c r="J9" i="7" l="1"/>
  <c r="P63" i="3"/>
  <c r="K12" i="7" s="1"/>
  <c r="K8" i="7"/>
  <c r="P86" i="3"/>
  <c r="P89" i="3" s="1"/>
  <c r="P91" i="3" s="1"/>
  <c r="P71" i="3"/>
  <c r="P74" i="3" s="1"/>
  <c r="P76" i="3" s="1"/>
  <c r="R68" i="3"/>
  <c r="S67" i="3" s="1"/>
  <c r="R88" i="3"/>
  <c r="S82" i="3"/>
  <c r="S83" i="3" s="1"/>
  <c r="Q73" i="3"/>
  <c r="U47" i="3"/>
  <c r="R58" i="3"/>
  <c r="S53" i="3"/>
  <c r="T52" i="3" s="1"/>
  <c r="Q55" i="3"/>
  <c r="W38" i="3"/>
  <c r="W42" i="3" s="1"/>
  <c r="W45" i="3" s="1"/>
  <c r="R7" i="7" s="1"/>
  <c r="V42" i="3"/>
  <c r="V45" i="3" s="1"/>
  <c r="Q7" i="7" s="1"/>
  <c r="P78" i="3" l="1"/>
  <c r="K13" i="7" s="1"/>
  <c r="K9" i="7"/>
  <c r="P93" i="3"/>
  <c r="K14" i="7" s="1"/>
  <c r="K10" i="7"/>
  <c r="Q85" i="3"/>
  <c r="S88" i="3"/>
  <c r="T82" i="3"/>
  <c r="T83" i="3" s="1"/>
  <c r="Q70" i="3"/>
  <c r="S68" i="3"/>
  <c r="T67" i="3" s="1"/>
  <c r="R73" i="3"/>
  <c r="V47" i="3"/>
  <c r="W47" i="3" s="1"/>
  <c r="Y45" i="3"/>
  <c r="H45" i="3" s="1"/>
  <c r="Q56" i="3"/>
  <c r="Q59" i="3" s="1"/>
  <c r="Q61" i="3" s="1"/>
  <c r="T53" i="3"/>
  <c r="U52" i="3" s="1"/>
  <c r="S58" i="3"/>
  <c r="Q63" i="3" l="1"/>
  <c r="L12" i="7" s="1"/>
  <c r="L8" i="7"/>
  <c r="Q86" i="3"/>
  <c r="Q89" i="3" s="1"/>
  <c r="Q91" i="3" s="1"/>
  <c r="T68" i="3"/>
  <c r="U67" i="3" s="1"/>
  <c r="U82" i="3"/>
  <c r="U83" i="3" s="1"/>
  <c r="Q71" i="3"/>
  <c r="Q74" i="3" s="1"/>
  <c r="Q76" i="3" s="1"/>
  <c r="S73" i="3"/>
  <c r="U53" i="3"/>
  <c r="V52" i="3" s="1"/>
  <c r="T58" i="3"/>
  <c r="R55" i="3"/>
  <c r="Q78" i="3" l="1"/>
  <c r="L13" i="7" s="1"/>
  <c r="L9" i="7"/>
  <c r="Q93" i="3"/>
  <c r="L14" i="7" s="1"/>
  <c r="L10" i="7"/>
  <c r="T73" i="3"/>
  <c r="R85" i="3"/>
  <c r="U88" i="3"/>
  <c r="V82" i="3"/>
  <c r="V83" i="3" s="1"/>
  <c r="U68" i="3"/>
  <c r="V67" i="3" s="1"/>
  <c r="R70" i="3"/>
  <c r="T88" i="3"/>
  <c r="R56" i="3"/>
  <c r="R59" i="3" s="1"/>
  <c r="R61" i="3" s="1"/>
  <c r="V53" i="3"/>
  <c r="W52" i="3" s="1"/>
  <c r="W53" i="3" s="1"/>
  <c r="W58" i="3" s="1"/>
  <c r="U58" i="3"/>
  <c r="R63" i="3" l="1"/>
  <c r="M12" i="7" s="1"/>
  <c r="M8" i="7"/>
  <c r="U73" i="3"/>
  <c r="R86" i="3"/>
  <c r="R89" i="3" s="1"/>
  <c r="R91" i="3" s="1"/>
  <c r="R71" i="3"/>
  <c r="R74" i="3" s="1"/>
  <c r="R76" i="3" s="1"/>
  <c r="V88" i="3"/>
  <c r="W82" i="3"/>
  <c r="W83" i="3" s="1"/>
  <c r="V68" i="3"/>
  <c r="W67" i="3" s="1"/>
  <c r="V58" i="3"/>
  <c r="S55" i="3"/>
  <c r="R78" i="3" l="1"/>
  <c r="M13" i="7" s="1"/>
  <c r="M9" i="7"/>
  <c r="R93" i="3"/>
  <c r="M14" i="7" s="1"/>
  <c r="M10" i="7"/>
  <c r="S85" i="3"/>
  <c r="W68" i="3"/>
  <c r="W73" i="3" s="1"/>
  <c r="W88" i="3"/>
  <c r="V73" i="3"/>
  <c r="S70" i="3"/>
  <c r="S56" i="3"/>
  <c r="S59" i="3" s="1"/>
  <c r="S61" i="3" s="1"/>
  <c r="N8" i="7" s="1"/>
  <c r="S86" i="3" l="1"/>
  <c r="S89" i="3" s="1"/>
  <c r="S91" i="3" s="1"/>
  <c r="S71" i="3"/>
  <c r="S74" i="3" s="1"/>
  <c r="S76" i="3" s="1"/>
  <c r="S63" i="3"/>
  <c r="N12" i="7" s="1"/>
  <c r="T55" i="3"/>
  <c r="S78" i="3" l="1"/>
  <c r="N13" i="7" s="1"/>
  <c r="N9" i="7"/>
  <c r="S93" i="3"/>
  <c r="N14" i="7" s="1"/>
  <c r="N10" i="7"/>
  <c r="T85" i="3"/>
  <c r="T70" i="3"/>
  <c r="T71" i="3" s="1"/>
  <c r="T56" i="3"/>
  <c r="T59" i="3" s="1"/>
  <c r="T61" i="3" s="1"/>
  <c r="O8" i="7" s="1"/>
  <c r="T86" i="3" l="1"/>
  <c r="T89" i="3" s="1"/>
  <c r="T91" i="3" s="1"/>
  <c r="O10" i="7" s="1"/>
  <c r="U70" i="3"/>
  <c r="T74" i="3"/>
  <c r="T76" i="3" s="1"/>
  <c r="T63" i="3"/>
  <c r="O12" i="7" s="1"/>
  <c r="U55" i="3"/>
  <c r="T78" i="3" l="1"/>
  <c r="O13" i="7" s="1"/>
  <c r="O9" i="7"/>
  <c r="T93" i="3"/>
  <c r="O14" i="7" s="1"/>
  <c r="U85" i="3"/>
  <c r="U86" i="3" s="1"/>
  <c r="U71" i="3"/>
  <c r="U74" i="3" s="1"/>
  <c r="U76" i="3" s="1"/>
  <c r="U56" i="3"/>
  <c r="U59" i="3" s="1"/>
  <c r="U61" i="3" s="1"/>
  <c r="P8" i="7" s="1"/>
  <c r="U78" i="3" l="1"/>
  <c r="P13" i="7" s="1"/>
  <c r="P9" i="7"/>
  <c r="V85" i="3"/>
  <c r="U89" i="3"/>
  <c r="U91" i="3" s="1"/>
  <c r="P10" i="7" s="1"/>
  <c r="V70" i="3"/>
  <c r="U63" i="3"/>
  <c r="P12" i="7" s="1"/>
  <c r="V55" i="3"/>
  <c r="V86" i="3" l="1"/>
  <c r="V89" i="3" s="1"/>
  <c r="V91" i="3" s="1"/>
  <c r="Q10" i="7" s="1"/>
  <c r="U93" i="3"/>
  <c r="P14" i="7" s="1"/>
  <c r="V71" i="3"/>
  <c r="V74" i="3" s="1"/>
  <c r="V76" i="3" s="1"/>
  <c r="V56" i="3"/>
  <c r="V59" i="3" s="1"/>
  <c r="V61" i="3" s="1"/>
  <c r="Q8" i="7" s="1"/>
  <c r="V78" i="3" l="1"/>
  <c r="Q13" i="7" s="1"/>
  <c r="Q9" i="7"/>
  <c r="V93" i="3"/>
  <c r="Q14" i="7" s="1"/>
  <c r="W85" i="3"/>
  <c r="W86" i="3" s="1"/>
  <c r="W89" i="3" s="1"/>
  <c r="W91" i="3" s="1"/>
  <c r="W70" i="3"/>
  <c r="W71" i="3" s="1"/>
  <c r="W74" i="3" s="1"/>
  <c r="W76" i="3" s="1"/>
  <c r="V63" i="3"/>
  <c r="Q12" i="7" s="1"/>
  <c r="W55" i="3"/>
  <c r="W56" i="3" s="1"/>
  <c r="W59" i="3" s="1"/>
  <c r="W61" i="3" s="1"/>
  <c r="Y76" i="3" l="1"/>
  <c r="Y78" i="3" s="1"/>
  <c r="T9" i="7" s="1"/>
  <c r="R9" i="7"/>
  <c r="Y61" i="3"/>
  <c r="Y63" i="3" s="1"/>
  <c r="T8" i="7" s="1"/>
  <c r="R8" i="7"/>
  <c r="Y91" i="3"/>
  <c r="Y93" i="3" s="1"/>
  <c r="T10" i="7" s="1"/>
  <c r="R10" i="7"/>
  <c r="W93" i="3"/>
  <c r="R14" i="7" s="1"/>
  <c r="W78" i="3"/>
  <c r="R13" i="7" s="1"/>
  <c r="W63" i="3"/>
  <c r="R12" i="7" s="1"/>
</calcChain>
</file>

<file path=xl/sharedStrings.xml><?xml version="1.0" encoding="utf-8"?>
<sst xmlns="http://schemas.openxmlformats.org/spreadsheetml/2006/main" count="218" uniqueCount="160">
  <si>
    <t>mes 01</t>
  </si>
  <si>
    <t>mes 02</t>
  </si>
  <si>
    <t>mes 03</t>
  </si>
  <si>
    <t>mes 05</t>
  </si>
  <si>
    <t>mes 06</t>
  </si>
  <si>
    <t>mes 07</t>
  </si>
  <si>
    <t>mes 09</t>
  </si>
  <si>
    <t>mes 10</t>
  </si>
  <si>
    <t>mes 11</t>
  </si>
  <si>
    <t>mes 12</t>
  </si>
  <si>
    <t>mes 13</t>
  </si>
  <si>
    <t>mes 14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</si>
  <si>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</si>
  <si>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</si>
  <si>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</si>
  <si>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</si>
  <si>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</si>
  <si>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</si>
  <si>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</si>
  <si>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</si>
  <si>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ESPAÑA</t>
  </si>
  <si>
    <t>EMPRESA</t>
  </si>
  <si>
    <t>Total uds</t>
  </si>
  <si>
    <t>GRAN PÚBLICO (RETAIL)</t>
  </si>
  <si>
    <t>B2B EXPATRIADOS</t>
  </si>
  <si>
    <t>B2B2C PROMOCIONAL</t>
  </si>
  <si>
    <t>B2B2C EMPRESAS SEGURIDAD</t>
  </si>
  <si>
    <t>PERSONAL DE EMBAJADAS</t>
  </si>
  <si>
    <t>TOTAL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</si>
  <si>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</si>
  <si>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</si>
  <si>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</si>
  <si>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</si>
  <si>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</si>
  <si>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</si>
  <si>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</si>
  <si>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</si>
  <si>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Coste mensual del servicio e-CMR (pago al proveedor)</t>
  </si>
  <si>
    <t>Coste adicional fijo</t>
  </si>
  <si>
    <t>nº de E. de Transporte adscritas POR MES (Venta Directa)</t>
  </si>
  <si>
    <t>nº de E. de Transporte adscritas POR MES (Asociaciones)</t>
  </si>
  <si>
    <t>nº de E. de Transporte adscritas POR MES (Grandes Partners)</t>
  </si>
  <si>
    <t>nº de E. de Transporte adscritas POR MES (Integradores)</t>
  </si>
  <si>
    <t>nº de E. de Transporte adscritas POR MES (Cargadores)</t>
  </si>
  <si>
    <t>MARGEN EQUIVALENTE</t>
  </si>
  <si>
    <t>TIEMPO DE DEDICACIÓN POR DOCUMENTO DE PORTE EN PAPEL (MINUTOS)</t>
  </si>
  <si>
    <t>COSTE SALARIAL ANUAL DEL PERSONAL ADMINISTRATIVO</t>
  </si>
  <si>
    <t>NÚMERO DE JUEGOS DE 4 COPIAS POR CUADERNO</t>
  </si>
  <si>
    <t>COSTE POR CMR-CDP EN PAPEL (JUEGO 4 COPIAS)</t>
  </si>
  <si>
    <t>RATIO VIAJES NACIONALES SOBRE EL TOTAL</t>
  </si>
  <si>
    <t>RATIO VIAJES INTERNACIONALES SOBRE EL TOTAL</t>
  </si>
  <si>
    <t>VIAJES NACIONALES REALIZADOS AL MES</t>
  </si>
  <si>
    <t>VIAJES INTERNACIONALES REALIZADOS AL MES</t>
  </si>
  <si>
    <t>RETRASO</t>
  </si>
  <si>
    <t>% DE LA FACTURACIÓN QUE SE COBRA CON 6 MESES O MÁS DE RETRASO</t>
  </si>
  <si>
    <t>PERDIDA</t>
  </si>
  <si>
    <t>PRECIO DE COMPRA DE CMR / CDP EN PAPEL (cuaderno 25 juegos)</t>
  </si>
  <si>
    <t>COSTE LABORAL POR MINUTO</t>
  </si>
  <si>
    <t>CALCULADOR TRANSFOLLOW DE AHORROS POR IMPLANTACIÓN DEL e-CMR ó e-CDP</t>
  </si>
  <si>
    <t>% DE LITIGIOS ANUALES PREVENIBLE / SOLUCIONABLE POR EVOLUCIONAR A e-CMR</t>
  </si>
  <si>
    <t>COSTE MENSUAL POR LITIGIOS TRAS IMPLANTAR e-CMR</t>
  </si>
  <si>
    <t>MENSUALIZACIÓN DE LOS COSTES DEBIDOS A LITIGIOS O DISCREPANCIAS (MANTENIENDO CMR PAPEL)</t>
  </si>
  <si>
    <t>Nº DE CARTAS DE PORTE PROMEDIO POR VIAJE NACIONAL</t>
  </si>
  <si>
    <t>Nº DE CMRs PROMEDIO POR VIAJE INTERNACIONAL</t>
  </si>
  <si>
    <t>Nº DE VIAJES REALIZADOS AL MES</t>
  </si>
  <si>
    <t>Nº DE CDPs REALIZADAS AL MES</t>
  </si>
  <si>
    <t>Nº DE CMRs REALIZADOS AL MES</t>
  </si>
  <si>
    <t>TIEMPO DE DEDICACIÓN POR DOCUMENTO DE PORTE DIGITAL (MINUTOS)</t>
  </si>
  <si>
    <t>DÍAS DE RETRASO PROMEDIO EN CERRAR (CONSENSUAR) UN VIAJE NACIONAL</t>
  </si>
  <si>
    <t>DÍAS DE RETRASO PROMEDIO EN CERRAR (CONSENSUAR) UN VIAJE INTERNACIONAL</t>
  </si>
  <si>
    <t>COSTE MENSUAL POR USO DE DOCUMENTOS DE PORTE EN PAPEL</t>
  </si>
  <si>
    <t>COSTE MENSUAL POR USO DE DOCUMENTOS DE CRÉDITOS TRANSFOLLOW (CASO EXPEDIDOR)</t>
  </si>
  <si>
    <t>COSTE MENSUAL POR USO DE DOCUMENTOS DE PORTE DIGITALES TRANSFOLLOW (LICENCIA)</t>
  </si>
  <si>
    <t>COSTE LABORAL POR DOCUMENTO GESTIONADO EN PAPEL</t>
  </si>
  <si>
    <t>COSTE LABORAL POR DOCUMENTO GESTIONADO DIGITALMENTE</t>
  </si>
  <si>
    <t>COSTE MENSUAL POR PERSONAL ADMTIVO POR GESTIÓN EN PAPEL</t>
  </si>
  <si>
    <t>COSTE MENSUAL POR PERSONAL ADMTIVO POR GESTIÓN DIGITAL</t>
  </si>
  <si>
    <t>VALOR</t>
  </si>
  <si>
    <t>MENSUAL</t>
  </si>
  <si>
    <t>ESTIMACIÓN DE COSTES EN EL CASO DE MANTENER LOS DOCUMENTOS DE PORTE EN PAPEL</t>
  </si>
  <si>
    <t>MARGEN GLOBAL (CALCULADO)</t>
  </si>
  <si>
    <t>COSTE MENSUAL DE PERSONAL ADMTIVO</t>
  </si>
  <si>
    <t>COSTE MENSUAL POR USO DE DOCUMENTOS EN PAPEL</t>
  </si>
  <si>
    <t>FACTURACIÓN LLEVADA A PÉRDIDAS A CAUSA DE LOS DOCUMENTOS DE PORTE</t>
  </si>
  <si>
    <t>FACTURACIÓN CUYO COBRO SE RETRASA &gt; 6 MESES A CAUSA DE LOS DOCUMENTOS DE PORTE</t>
  </si>
  <si>
    <t>COSTE POR RETRASO TRAS EL CIERRE-FIRMA DEL PORTE (DOCUMENTO FIRMADO ENVIADO A PARTNERS)</t>
  </si>
  <si>
    <t>COSTE DEBIDO A LITIGIOS ENTRE PARTES (MENOR FACTURACIÓN + COSTES LEGALES)</t>
  </si>
  <si>
    <t>COSTE DEBIDO A PROBLEMAS EN INSPECCIÓN (MULTAS + SANCIONES + COSTE DE INMOVILIZACIÓN)</t>
  </si>
  <si>
    <t>COSTE MENSUAL POR USO DE DOCUMENTOS DIGITALES (CONCEPTO LICENCIA)</t>
  </si>
  <si>
    <t>COSTE MENSUAL POR USO DE DOCUMENTOS DIGITALES (CONCEPTO CRÉDITOS)</t>
  </si>
  <si>
    <t>ESTIMACIÓN DE COSTES EN EL CASO DE EVOLUCIONAR A DOCUMENTOS DIGITALES</t>
  </si>
  <si>
    <t>PORCENTAJE MENSUAL DE ADOPCIÓN</t>
  </si>
  <si>
    <t>Ahorro mensual según PORCENTAJE MENSUAL DE ADOPCIÓN</t>
  </si>
  <si>
    <t>Ahorro mensual acumulado según PORCENTAJE MENSUAL DE ADOPCIÓN</t>
  </si>
  <si>
    <t>AUMENTO COSTES DIGITALES MENSUALES SEGÚN EL % DE ADOPCIÓN</t>
  </si>
  <si>
    <t>REDUCCION COSTES POR USO DE DOCS EN PAPEL SEGÚN EL % DE ADOPCIÓN</t>
  </si>
  <si>
    <t>COSTES DIGITALES (DECRECIM. MENSUAL APLICANDO EL % DE ADOPCIÓN)</t>
  </si>
  <si>
    <t>AHORRO MES A MES DE COSTES POR USO DE PAPEL</t>
  </si>
  <si>
    <t>AUMENTO MES A MES DE GASTOS DIGITALIZACION</t>
  </si>
  <si>
    <t>Ahorros mensuales (si la evolución fuera instantánea)</t>
  </si>
  <si>
    <t>Ahorros acumulados (si la evolución fuera instantánea)</t>
  </si>
  <si>
    <t>COSTES PAPEL (DECRECIM. MENSUAL  SEGÚN EL % DE ADOPCIÓN)</t>
  </si>
  <si>
    <t>CMR CDP
EN PAPEL</t>
  </si>
  <si>
    <t>e-CMR 
e-CDP</t>
  </si>
  <si>
    <t>ENVÍO DE COPIA DOCUMENTO A PARNERS</t>
  </si>
  <si>
    <t>FIRMA DE RECOGIDA</t>
  </si>
  <si>
    <t>FIRMA DE ENTREGA</t>
  </si>
  <si>
    <t>RECUPERACIÓN COPIA FINAL FIRMADA</t>
  </si>
  <si>
    <t>ARCHIVO FÍSICO</t>
  </si>
  <si>
    <t>RECUPERACIÓN EN CASO DE LITIGIO</t>
  </si>
  <si>
    <t>ENVÍO Y ACUERDO SOBRE COPIA FINAL FIRMADA</t>
  </si>
  <si>
    <t>TOTALES</t>
  </si>
  <si>
    <t>TIEMPOS DE DEDICACIÓN/ TAREA 
(MINUTOS)</t>
  </si>
  <si>
    <t>Porcentajes de ahorro acumulados</t>
  </si>
  <si>
    <t>Ahorros mensuales si muevo rutas papel --&gt; digital</t>
  </si>
  <si>
    <t>Ahorros mensuales acumulados si muevo rutas papel --&gt; digital</t>
  </si>
  <si>
    <t>Mes 1</t>
  </si>
  <si>
    <t>Mes 2</t>
  </si>
  <si>
    <t>Mes 3</t>
  </si>
  <si>
    <t>Mes 4</t>
  </si>
  <si>
    <t>COSTE ANUAL POR PROBLEMAS EN INSPECCIÓN 
(MULTAS + SANCIONES + COSTE INMOVILIZACIÓN)</t>
  </si>
  <si>
    <t>COSTE ANUAL POR LITIGIOS CON LOS PARTNERS LOGÍSTICOS 
(MENOR FACTURACIÓN + COSTES LEGALES)</t>
  </si>
  <si>
    <t>% DE LA FACTURACIÓN QUE NO SE LLEGA ANUALMENTE A COBRAR</t>
  </si>
  <si>
    <t>POR RAZONES DEBIDAS A DOCUMENTACIÓN DE PORTE (A PÉRDIDAS)</t>
  </si>
  <si>
    <t>BORRADOR --&gt; DOCUMENTO (EXPEDIDOR)</t>
  </si>
  <si>
    <t>PRECIO DE TRASFERENCIA POR USO DE CRÉDITOS (por e-CMR)</t>
  </si>
  <si>
    <t>PRECIO TRASFERENCIA DE TRANSFOLLOW POR LICENCIA (por e-CMR)</t>
  </si>
  <si>
    <t xml:space="preserve">MENSUALIZACIÓN DE LOS COSTES DEBIDOS A INSPECCIÓN </t>
  </si>
  <si>
    <t>% DE LA FACTURACIÓN ANUAL AFECTADO POR SANCIONES EN INSPECCIÓN</t>
  </si>
  <si>
    <t>(MENOR FACTURACIÓN + COSTES LEGALES)</t>
  </si>
  <si>
    <t>% DE LA FACTURACIÓN ANUAL AFECTADO POR LITIGIOS</t>
  </si>
  <si>
    <t>% DE INCIDENTES POR INSPECCIÓN SOLUCIONABLES POR EVOLUCIONAR A e-CMR</t>
  </si>
  <si>
    <t>MENOR FATURACIÓN (VIAJES NACIONALES)</t>
  </si>
  <si>
    <t>MENOR FATURACIÓN (VIAJES INTERNACIONALES)</t>
  </si>
  <si>
    <t>ENTREGA DOCUMENTO AL CHÓFER</t>
  </si>
  <si>
    <t>ESCANEADO --&gt; DIGITALIZACIÓN</t>
  </si>
  <si>
    <t>MANTENIMIENTO DEL ARCHIVO FÍSICO</t>
  </si>
  <si>
    <t>COSTES ADMINISTRATIVOS</t>
  </si>
  <si>
    <t>COSTES PAPEL --&gt; DIGITAL</t>
  </si>
  <si>
    <t>AHORROS MENSUALES POR CONCEPTO PARA LA SIMULACIÓN ELEGIDA</t>
  </si>
  <si>
    <t>PRINCIPALES PARÁMETROS DE LA SIMULACIÓN ELEGIDA</t>
  </si>
  <si>
    <t>PRECIO DEL DINERO BANCARIO</t>
  </si>
  <si>
    <t>COSTE MENSUAL DEL DINERO POR DESACUERDOS POR DOCUMENTACIÓN EN DIGITAL</t>
  </si>
  <si>
    <t>EQUIVALENTE MENSUAL DE LA PÉRDIDA DE FACTURACIÓN DEBIDA A LA DOCUMENTACIÓN EN PAPEL</t>
  </si>
  <si>
    <t>EQUIVALENTE MENSUAL DE LA PÉRDIDA DE FACTURACIÓN DEBIDA A LA DOCUMENTACIÓN DIGITAL</t>
  </si>
  <si>
    <t>COSTE MENSUAL DEL DINERO POR PÉRDIDA DE LIQUIDEZ POR DESACUERDOS EN DOCUMENTACIÓN - PAPEL</t>
  </si>
  <si>
    <t>% DE IMPAGOS ANUALES POR DESACUERDOS PREVENIBLE POR EVOLUCIONAR A e-CMR</t>
  </si>
  <si>
    <t>COSTE MENSUAL DEL DINERO POR RETRASO DE CIERRE DEL PORTE EN NACIONAL</t>
  </si>
  <si>
    <t>COSTE MENSUAL DEL DINERO POR RETRASO DE CIERRE DEL PORTE EN INTERNACIONAL</t>
  </si>
  <si>
    <t>FACTURACIÓN PROMEDIO POR VIAJE REALIZADO (INTERNACIONAL)</t>
  </si>
  <si>
    <t>FACTURACIÓN PROMEDIO POR VIAJE REALIZADO (NACIONAL)</t>
  </si>
  <si>
    <t>FACTURACIÓN MENSUAL ESTIMADA</t>
  </si>
  <si>
    <t>Nº DE HORAS TRABAJADAS/ AÑO (CONVENIO)</t>
  </si>
  <si>
    <t>COSTE DEL LABORAL POR HORA</t>
  </si>
  <si>
    <t>MENOR FACTURACIÓN POR LITIGIOS 
(PENALIZACIONES + GASTOS JURIDICOS)</t>
  </si>
  <si>
    <t>POR DIAS PARA DAR POR CERRADO UN PORTE 
(ENVÍO DE COPIA ORIGINAL)</t>
  </si>
  <si>
    <t>RETRASO DE FACTURACIÓN &gt; 6 MESES 
POR DISCREPANCIAS EN DOCUMENTOS</t>
  </si>
  <si>
    <t>PERDIDA DE FACTURACIÓN POR INCOBRO 
(ANUAL CONSOLIDADO/12)</t>
  </si>
  <si>
    <t>INCIDENCIAS EN INSPECCIÓN 
(MULTAS, INMOVILIZACIONES)</t>
  </si>
  <si>
    <t xml:space="preserve">    AHORRO TOTAL MENSUAL 
   PARA LA SIMULACIÓN ELEGIDA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</si>
</sst>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_-* #,##0\ _€_-;\-* #,##0\ _€_-;_-* &quot;-&quot;??\ _€_-;_-@_-"/>
    <numFmt numFmtId="167" formatCode="[$-C0A]mmm\-yy;@"/>
    <numFmt numFmtId="168" formatCode="_-* #,##0\ &quot;€&quot;_-;\-* #,##0\ &quot;€&quot;_-;_-* &quot;-&quot;??\ &quot;€&quot;_-;_-@_-"/>
    <numFmt numFmtId="169" formatCode="0.0%"/>
    <numFmt numFmtId="170" formatCode="_ * #,##0_ ;_ * \-#,##0_ ;_ * &quot;-&quot;??_ ;_ @_ "/>
    <numFmt numFmtId="171" formatCode="_-* #,##0\ &quot;€&quot;_-;\-* #,##0\ &quot;€&quot;_-;_-* &quot;-&quot;?\ &quot;€&quot;_-;_-@_-"/>
    <numFmt numFmtId="172" formatCode="_-* #,##0.0\ &quot;€&quot;_-;\-* #,##0.0\ &quot;€&quot;_-;_-* &quot;-&quot;??\ &quot;€&quot;_-;_-@_-"/>
    <numFmt numFmtId="173" formatCode="_-* #,##0.0\ _€_-;\-* #,##0.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3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8" fontId="0" fillId="0" borderId="0" xfId="1" applyNumberFormat="1" applyFont="1" applyAlignment="1">
      <alignment horizontal="center"/>
    </xf>
    <xf numFmtId="3" fontId="0" fillId="0" borderId="0" xfId="0" applyNumberFormat="1" applyAlignment="1">
      <alignment horizontal="right"/>
    </xf>
    <xf numFmtId="9" fontId="0" fillId="0" borderId="0" xfId="2" applyFont="1" applyAlignment="1">
      <alignment horizontal="center"/>
    </xf>
    <xf numFmtId="169" fontId="0" fillId="0" borderId="0" xfId="2" applyNumberFormat="1" applyFont="1" applyAlignment="1">
      <alignment horizontal="center"/>
    </xf>
    <xf numFmtId="169" fontId="12" fillId="0" borderId="0" xfId="2" applyNumberFormat="1" applyFont="1" applyAlignment="1">
      <alignment horizontal="center"/>
    </xf>
    <xf numFmtId="0" fontId="12" fillId="0" borderId="0" xfId="0" applyFont="1" applyAlignment="1">
      <alignment horizontal="center"/>
    </xf>
    <xf numFmtId="169" fontId="12" fillId="0" borderId="0" xfId="0" applyNumberFormat="1" applyFont="1" applyAlignment="1">
      <alignment horizontal="center"/>
    </xf>
    <xf numFmtId="0" fontId="17" fillId="0" borderId="0" xfId="0" applyFont="1" applyAlignment="1">
      <alignment horizontal="right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6" fontId="0" fillId="0" borderId="0" xfId="1" applyNumberFormat="1" applyFont="1" applyAlignment="1">
      <alignment horizontal="center"/>
    </xf>
    <xf numFmtId="0" fontId="2" fillId="0" borderId="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6" fontId="0" fillId="0" borderId="9" xfId="1" applyNumberFormat="1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left" wrapText="1"/>
    </xf>
    <xf numFmtId="6" fontId="0" fillId="0" borderId="9" xfId="1" applyNumberFormat="1" applyFont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6" fontId="14" fillId="0" borderId="9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9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right" vertical="center"/>
    </xf>
    <xf numFmtId="44" fontId="0" fillId="0" borderId="0" xfId="0" applyNumberFormat="1" applyAlignment="1">
      <alignment horizontal="center" vertical="center"/>
    </xf>
    <xf numFmtId="172" fontId="0" fillId="0" borderId="0" xfId="0" applyNumberFormat="1" applyAlignment="1">
      <alignment horizontal="right" vertical="center"/>
    </xf>
    <xf numFmtId="168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right" vertical="center"/>
    </xf>
    <xf numFmtId="10" fontId="17" fillId="0" borderId="0" xfId="0" applyNumberFormat="1" applyFont="1" applyAlignment="1">
      <alignment horizontal="center" vertical="center"/>
    </xf>
    <xf numFmtId="172" fontId="0" fillId="0" borderId="0" xfId="0" applyNumberFormat="1" applyAlignment="1">
      <alignment horizontal="right" vertical="top"/>
    </xf>
    <xf numFmtId="168" fontId="0" fillId="0" borderId="0" xfId="0" applyNumberFormat="1" applyAlignment="1">
      <alignment horizontal="center" vertical="top"/>
    </xf>
    <xf numFmtId="166" fontId="0" fillId="6" borderId="0" xfId="5" applyNumberFormat="1" applyFont="1" applyFill="1" applyAlignment="1" applyProtection="1">
      <alignment horizontal="center" vertical="center"/>
      <protection locked="0"/>
    </xf>
    <xf numFmtId="172" fontId="0" fillId="6" borderId="0" xfId="1" applyNumberFormat="1" applyFont="1" applyFill="1" applyAlignment="1" applyProtection="1">
      <alignment horizontal="center" vertical="center"/>
      <protection locked="0"/>
    </xf>
    <xf numFmtId="165" fontId="0" fillId="6" borderId="0" xfId="0" applyNumberFormat="1" applyFill="1" applyAlignment="1" applyProtection="1">
      <alignment horizontal="center" vertical="center"/>
      <protection locked="0"/>
    </xf>
    <xf numFmtId="166" fontId="14" fillId="6" borderId="0" xfId="5" applyNumberFormat="1" applyFont="1" applyFill="1" applyAlignment="1" applyProtection="1">
      <alignment horizontal="center" vertical="center"/>
      <protection locked="0"/>
    </xf>
    <xf numFmtId="9" fontId="0" fillId="6" borderId="0" xfId="2" applyFont="1" applyFill="1" applyAlignment="1" applyProtection="1">
      <alignment vertical="center"/>
      <protection locked="0"/>
    </xf>
    <xf numFmtId="173" fontId="0" fillId="6" borderId="0" xfId="5" applyNumberFormat="1" applyFont="1" applyFill="1" applyAlignment="1" applyProtection="1">
      <alignment vertical="center"/>
      <protection locked="0"/>
    </xf>
    <xf numFmtId="173" fontId="0" fillId="6" borderId="0" xfId="5" applyNumberFormat="1" applyFont="1" applyFill="1" applyAlignment="1" applyProtection="1">
      <alignment horizontal="right" vertical="center"/>
      <protection locked="0"/>
    </xf>
    <xf numFmtId="172" fontId="2" fillId="6" borderId="0" xfId="1" applyNumberFormat="1" applyFont="1" applyFill="1" applyAlignment="1" applyProtection="1">
      <alignment horizontal="center" vertical="center"/>
      <protection locked="0"/>
    </xf>
    <xf numFmtId="44" fontId="0" fillId="6" borderId="0" xfId="1" applyNumberFormat="1" applyFont="1" applyFill="1" applyAlignment="1" applyProtection="1">
      <alignment horizontal="center" vertical="center"/>
      <protection locked="0"/>
    </xf>
    <xf numFmtId="10" fontId="20" fillId="6" borderId="0" xfId="2" applyNumberFormat="1" applyFont="1" applyFill="1" applyAlignment="1" applyProtection="1">
      <alignment vertical="center"/>
      <protection locked="0"/>
    </xf>
    <xf numFmtId="9" fontId="24" fillId="6" borderId="0" xfId="2" applyNumberFormat="1" applyFont="1" applyFill="1" applyAlignment="1" applyProtection="1">
      <alignment vertical="center"/>
      <protection locked="0"/>
    </xf>
    <xf numFmtId="166" fontId="0" fillId="6" borderId="0" xfId="5" applyNumberFormat="1" applyFont="1" applyFill="1" applyAlignment="1" applyProtection="1">
      <alignment vertical="center"/>
      <protection locked="0"/>
    </xf>
    <xf numFmtId="166" fontId="0" fillId="6" borderId="0" xfId="5" applyNumberFormat="1" applyFont="1" applyFill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170" fontId="2" fillId="0" borderId="0" xfId="6" applyNumberFormat="1" applyFont="1" applyBorder="1" applyAlignment="1" applyProtection="1">
      <alignment horizontal="center" vertical="center"/>
    </xf>
    <xf numFmtId="9" fontId="0" fillId="0" borderId="0" xfId="2" applyFont="1" applyAlignment="1" applyProtection="1">
      <alignment vertical="center"/>
    </xf>
    <xf numFmtId="0" fontId="19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wrapText="1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/>
    <xf numFmtId="0" fontId="0" fillId="2" borderId="0" xfId="0" applyFill="1" applyAlignment="1" applyProtection="1">
      <alignment horizontal="right" vertical="center"/>
    </xf>
    <xf numFmtId="44" fontId="0" fillId="0" borderId="0" xfId="1" applyFont="1" applyAlignment="1" applyProtection="1">
      <alignment vertical="center"/>
    </xf>
    <xf numFmtId="170" fontId="0" fillId="0" borderId="0" xfId="6" applyNumberFormat="1" applyFont="1" applyAlignment="1" applyProtection="1">
      <alignment horizontal="center" vertical="center"/>
    </xf>
    <xf numFmtId="170" fontId="0" fillId="0" borderId="0" xfId="6" applyNumberFormat="1" applyFont="1" applyProtection="1"/>
    <xf numFmtId="44" fontId="0" fillId="0" borderId="0" xfId="0" applyNumberFormat="1" applyAlignment="1" applyProtection="1">
      <alignment vertical="center"/>
    </xf>
    <xf numFmtId="165" fontId="0" fillId="0" borderId="0" xfId="0" applyNumberFormat="1" applyAlignment="1" applyProtection="1">
      <alignment horizontal="center" vertical="center"/>
    </xf>
    <xf numFmtId="165" fontId="0" fillId="8" borderId="0" xfId="0" applyNumberFormat="1" applyFill="1" applyAlignment="1" applyProtection="1">
      <alignment horizontal="center" vertical="center"/>
    </xf>
    <xf numFmtId="173" fontId="2" fillId="6" borderId="9" xfId="5" applyNumberFormat="1" applyFont="1" applyFill="1" applyBorder="1" applyAlignment="1" applyProtection="1">
      <alignment horizontal="center" vertical="center"/>
    </xf>
    <xf numFmtId="44" fontId="8" fillId="0" borderId="0" xfId="1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173" fontId="2" fillId="8" borderId="9" xfId="5" applyNumberFormat="1" applyFont="1" applyFill="1" applyBorder="1" applyAlignment="1" applyProtection="1">
      <alignment horizontal="center" vertical="center"/>
    </xf>
    <xf numFmtId="172" fontId="5" fillId="7" borderId="0" xfId="1" applyNumberFormat="1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172" fontId="5" fillId="8" borderId="0" xfId="1" applyNumberFormat="1" applyFont="1" applyFill="1" applyAlignment="1" applyProtection="1">
      <alignment vertical="center"/>
    </xf>
    <xf numFmtId="165" fontId="0" fillId="0" borderId="0" xfId="0" applyNumberFormat="1" applyAlignment="1" applyProtection="1">
      <alignment horizontal="right" vertical="center"/>
    </xf>
    <xf numFmtId="170" fontId="0" fillId="0" borderId="0" xfId="6" applyNumberFormat="1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" fontId="0" fillId="0" borderId="0" xfId="0" applyNumberFormat="1" applyAlignment="1" applyProtection="1">
      <alignment horizontal="center" vertical="center"/>
    </xf>
    <xf numFmtId="0" fontId="14" fillId="2" borderId="0" xfId="0" applyFont="1" applyFill="1" applyAlignment="1" applyProtection="1">
      <alignment horizontal="right" vertical="center"/>
    </xf>
    <xf numFmtId="166" fontId="0" fillId="0" borderId="0" xfId="5" applyNumberFormat="1" applyFont="1" applyAlignment="1" applyProtection="1">
      <alignment vertical="center"/>
    </xf>
    <xf numFmtId="170" fontId="0" fillId="0" borderId="0" xfId="6" applyNumberFormat="1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165" fontId="0" fillId="0" borderId="0" xfId="0" applyNumberFormat="1" applyAlignment="1" applyProtection="1">
      <alignment vertical="center"/>
    </xf>
    <xf numFmtId="165" fontId="2" fillId="6" borderId="9" xfId="0" applyNumberFormat="1" applyFont="1" applyFill="1" applyBorder="1" applyAlignment="1" applyProtection="1">
      <alignment horizontal="center" vertical="center"/>
    </xf>
    <xf numFmtId="165" fontId="2" fillId="8" borderId="9" xfId="0" applyNumberFormat="1" applyFont="1" applyFill="1" applyBorder="1" applyAlignment="1" applyProtection="1">
      <alignment horizontal="center" vertical="center"/>
    </xf>
    <xf numFmtId="168" fontId="0" fillId="0" borderId="0" xfId="1" applyNumberFormat="1" applyFont="1" applyAlignment="1" applyProtection="1">
      <alignment horizontal="center" vertical="center"/>
    </xf>
    <xf numFmtId="168" fontId="18" fillId="0" borderId="0" xfId="1" applyNumberFormat="1" applyFont="1" applyAlignment="1" applyProtection="1">
      <alignment vertical="center"/>
    </xf>
    <xf numFmtId="168" fontId="21" fillId="0" borderId="0" xfId="0" applyNumberFormat="1" applyFont="1" applyAlignment="1" applyProtection="1">
      <alignment vertical="top"/>
    </xf>
    <xf numFmtId="9" fontId="0" fillId="2" borderId="0" xfId="2" applyFont="1" applyFill="1" applyAlignment="1" applyProtection="1">
      <alignment vertical="center"/>
    </xf>
    <xf numFmtId="9" fontId="0" fillId="0" borderId="0" xfId="2" applyFont="1" applyAlignment="1" applyProtection="1">
      <alignment horizontal="center" vertical="center"/>
    </xf>
    <xf numFmtId="0" fontId="0" fillId="0" borderId="0" xfId="0" applyProtection="1"/>
    <xf numFmtId="44" fontId="8" fillId="0" borderId="0" xfId="1" applyFont="1" applyAlignment="1" applyProtection="1">
      <alignment horizontal="center" vertical="top"/>
    </xf>
    <xf numFmtId="0" fontId="8" fillId="0" borderId="0" xfId="0" applyFont="1" applyAlignment="1" applyProtection="1">
      <alignment vertical="top"/>
    </xf>
    <xf numFmtId="172" fontId="0" fillId="7" borderId="0" xfId="1" applyNumberFormat="1" applyFont="1" applyFill="1" applyAlignment="1" applyProtection="1">
      <alignment horizontal="center" vertical="center"/>
    </xf>
    <xf numFmtId="44" fontId="0" fillId="8" borderId="0" xfId="1" applyNumberFormat="1" applyFont="1" applyFill="1" applyAlignment="1" applyProtection="1">
      <alignment horizontal="center" vertical="center"/>
    </xf>
    <xf numFmtId="172" fontId="0" fillId="8" borderId="0" xfId="1" applyNumberFormat="1" applyFont="1" applyFill="1" applyAlignment="1" applyProtection="1">
      <alignment horizontal="center" vertical="center"/>
    </xf>
    <xf numFmtId="172" fontId="0" fillId="0" borderId="0" xfId="1" applyNumberFormat="1" applyFont="1" applyAlignment="1" applyProtection="1">
      <alignment horizontal="center" vertical="center"/>
    </xf>
    <xf numFmtId="44" fontId="5" fillId="0" borderId="0" xfId="1" applyFont="1" applyAlignment="1" applyProtection="1">
      <alignment horizontal="center" vertical="center"/>
    </xf>
    <xf numFmtId="168" fontId="22" fillId="0" borderId="0" xfId="1" applyNumberFormat="1" applyFont="1" applyAlignment="1" applyProtection="1">
      <alignment horizontal="center" vertical="center"/>
    </xf>
    <xf numFmtId="168" fontId="21" fillId="7" borderId="0" xfId="0" applyNumberFormat="1" applyFont="1" applyFill="1" applyAlignment="1" applyProtection="1">
      <alignment vertical="center"/>
    </xf>
    <xf numFmtId="168" fontId="0" fillId="8" borderId="0" xfId="1" applyNumberFormat="1" applyFont="1" applyFill="1" applyAlignment="1" applyProtection="1">
      <alignment horizontal="center" vertical="center"/>
    </xf>
    <xf numFmtId="168" fontId="0" fillId="7" borderId="0" xfId="0" applyNumberFormat="1" applyFill="1" applyAlignment="1" applyProtection="1">
      <alignment vertical="center"/>
    </xf>
    <xf numFmtId="168" fontId="0" fillId="0" borderId="0" xfId="0" applyNumberFormat="1" applyAlignment="1" applyProtection="1">
      <alignment vertical="center"/>
    </xf>
    <xf numFmtId="168" fontId="0" fillId="7" borderId="0" xfId="1" applyNumberFormat="1" applyFont="1" applyFill="1" applyAlignment="1" applyProtection="1">
      <alignment vertical="center"/>
    </xf>
    <xf numFmtId="0" fontId="0" fillId="2" borderId="0" xfId="0" applyFill="1" applyAlignment="1" applyProtection="1">
      <alignment horizontal="right" vertical="center" wrapText="1"/>
    </xf>
    <xf numFmtId="168" fontId="0" fillId="0" borderId="0" xfId="1" applyNumberFormat="1" applyFont="1" applyFill="1" applyAlignment="1" applyProtection="1">
      <alignment horizontal="right" vertical="center"/>
    </xf>
    <xf numFmtId="0" fontId="0" fillId="2" borderId="0" xfId="0" applyFill="1" applyAlignment="1" applyProtection="1">
      <alignment horizontal="left" vertical="center"/>
    </xf>
    <xf numFmtId="168" fontId="0" fillId="8" borderId="0" xfId="0" applyNumberFormat="1" applyFill="1" applyAlignment="1" applyProtection="1">
      <alignment vertical="center"/>
    </xf>
    <xf numFmtId="168" fontId="0" fillId="0" borderId="0" xfId="1" applyNumberFormat="1" applyFont="1" applyFill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167" fontId="0" fillId="0" borderId="0" xfId="0" applyNumberForma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0" fillId="0" borderId="2" xfId="0" applyBorder="1" applyAlignment="1" applyProtection="1">
      <alignment horizontal="left" vertical="center"/>
    </xf>
    <xf numFmtId="0" fontId="0" fillId="0" borderId="3" xfId="0" applyBorder="1" applyAlignment="1" applyProtection="1">
      <alignment vertical="center"/>
    </xf>
    <xf numFmtId="3" fontId="0" fillId="0" borderId="3" xfId="0" applyNumberFormat="1" applyBorder="1" applyAlignment="1" applyProtection="1">
      <alignment vertical="center"/>
    </xf>
    <xf numFmtId="0" fontId="0" fillId="3" borderId="1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3" fontId="2" fillId="4" borderId="4" xfId="0" applyNumberFormat="1" applyFont="1" applyFill="1" applyBorder="1" applyAlignment="1" applyProtection="1">
      <alignment horizontal="center" vertical="center"/>
    </xf>
    <xf numFmtId="3" fontId="0" fillId="0" borderId="4" xfId="0" applyNumberFormat="1" applyBorder="1" applyAlignment="1" applyProtection="1">
      <alignment horizontal="left" vertical="center"/>
    </xf>
    <xf numFmtId="3" fontId="0" fillId="0" borderId="4" xfId="0" applyNumberFormat="1" applyBorder="1" applyAlignment="1" applyProtection="1">
      <alignment horizontal="center" vertical="center"/>
    </xf>
    <xf numFmtId="3" fontId="2" fillId="4" borderId="4" xfId="0" applyNumberFormat="1" applyFont="1" applyFill="1" applyBorder="1" applyAlignment="1" applyProtection="1">
      <alignment vertical="center"/>
    </xf>
    <xf numFmtId="3" fontId="0" fillId="0" borderId="4" xfId="0" applyNumberFormat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3" fontId="0" fillId="0" borderId="5" xfId="0" applyNumberForma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3" fontId="2" fillId="0" borderId="8" xfId="0" applyNumberFormat="1" applyFont="1" applyBorder="1" applyAlignment="1" applyProtection="1">
      <alignment vertical="center"/>
    </xf>
    <xf numFmtId="3" fontId="0" fillId="0" borderId="8" xfId="0" applyNumberFormat="1" applyBorder="1" applyAlignment="1" applyProtection="1">
      <alignment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right" vertical="center"/>
    </xf>
    <xf numFmtId="3" fontId="2" fillId="0" borderId="3" xfId="0" applyNumberFormat="1" applyFont="1" applyBorder="1" applyAlignment="1" applyProtection="1">
      <alignment horizontal="center" vertical="center"/>
    </xf>
    <xf numFmtId="3" fontId="2" fillId="0" borderId="3" xfId="0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3" fontId="0" fillId="0" borderId="0" xfId="0" applyNumberFormat="1" applyBorder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168" fontId="13" fillId="0" borderId="0" xfId="1" applyNumberFormat="1" applyFont="1" applyAlignment="1" applyProtection="1">
      <alignment vertical="center"/>
    </xf>
    <xf numFmtId="49" fontId="2" fillId="0" borderId="0" xfId="0" applyNumberFormat="1" applyFont="1" applyAlignment="1" applyProtection="1">
      <alignment horizontal="center" vertical="center"/>
    </xf>
    <xf numFmtId="168" fontId="15" fillId="0" borderId="0" xfId="1" applyNumberFormat="1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167" fontId="7" fillId="0" borderId="0" xfId="0" applyNumberFormat="1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0" fillId="0" borderId="0" xfId="0" applyFill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168" fontId="5" fillId="7" borderId="4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168" fontId="5" fillId="7" borderId="8" xfId="1" applyNumberFormat="1" applyFont="1" applyFill="1" applyBorder="1" applyAlignment="1" applyProtection="1">
      <alignment horizontal="center" vertical="center"/>
    </xf>
    <xf numFmtId="3" fontId="0" fillId="0" borderId="8" xfId="0" applyNumberFormat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right"/>
    </xf>
    <xf numFmtId="169" fontId="10" fillId="0" borderId="0" xfId="2" applyNumberFormat="1" applyFont="1" applyAlignment="1" applyProtection="1">
      <alignment horizontal="center"/>
    </xf>
    <xf numFmtId="0" fontId="10" fillId="0" borderId="0" xfId="0" applyFont="1" applyAlignment="1" applyProtection="1"/>
    <xf numFmtId="3" fontId="10" fillId="0" borderId="0" xfId="0" applyNumberFormat="1" applyFont="1" applyAlignment="1" applyProtection="1">
      <alignment horizontal="center"/>
    </xf>
    <xf numFmtId="3" fontId="3" fillId="0" borderId="0" xfId="0" applyNumberFormat="1" applyFont="1" applyAlignment="1" applyProtection="1">
      <alignment horizontal="center"/>
    </xf>
    <xf numFmtId="0" fontId="0" fillId="0" borderId="0" xfId="0" applyFill="1" applyBorder="1" applyAlignment="1" applyProtection="1">
      <alignment horizontal="right" vertical="top"/>
    </xf>
    <xf numFmtId="0" fontId="0" fillId="0" borderId="0" xfId="0" applyAlignment="1" applyProtection="1">
      <alignment vertical="top"/>
    </xf>
    <xf numFmtId="169" fontId="10" fillId="0" borderId="0" xfId="2" applyNumberFormat="1" applyFont="1" applyAlignment="1" applyProtection="1">
      <alignment horizontal="center" vertical="top"/>
    </xf>
    <xf numFmtId="0" fontId="10" fillId="0" borderId="0" xfId="0" applyFont="1" applyAlignment="1" applyProtection="1">
      <alignment vertical="top"/>
    </xf>
    <xf numFmtId="3" fontId="10" fillId="0" borderId="0" xfId="0" applyNumberFormat="1" applyFont="1" applyAlignment="1" applyProtection="1">
      <alignment horizontal="center" vertical="top"/>
    </xf>
    <xf numFmtId="3" fontId="3" fillId="0" borderId="0" xfId="0" applyNumberFormat="1" applyFont="1" applyAlignment="1" applyProtection="1">
      <alignment horizontal="center" vertical="top"/>
    </xf>
    <xf numFmtId="168" fontId="0" fillId="8" borderId="10" xfId="1" applyNumberFormat="1" applyFont="1" applyFill="1" applyBorder="1" applyAlignment="1" applyProtection="1">
      <alignment horizontal="center" vertical="center"/>
    </xf>
    <xf numFmtId="168" fontId="0" fillId="8" borderId="11" xfId="1" applyNumberFormat="1" applyFont="1" applyFill="1" applyBorder="1" applyAlignment="1" applyProtection="1">
      <alignment horizontal="center" vertical="center"/>
    </xf>
    <xf numFmtId="168" fontId="0" fillId="0" borderId="0" xfId="1" applyNumberFormat="1" applyFont="1" applyAlignment="1" applyProtection="1">
      <alignment vertical="center"/>
    </xf>
    <xf numFmtId="3" fontId="0" fillId="5" borderId="0" xfId="0" applyNumberFormat="1" applyFill="1" applyBorder="1" applyAlignment="1" applyProtection="1">
      <alignment horizontal="right" vertical="center"/>
    </xf>
    <xf numFmtId="3" fontId="0" fillId="5" borderId="0" xfId="0" applyNumberFormat="1" applyFill="1" applyBorder="1" applyAlignment="1" applyProtection="1">
      <alignment horizontal="center" vertical="center"/>
    </xf>
    <xf numFmtId="169" fontId="10" fillId="0" borderId="0" xfId="2" applyNumberFormat="1" applyFont="1" applyAlignment="1" applyProtection="1">
      <alignment horizontal="center" vertical="center"/>
    </xf>
    <xf numFmtId="168" fontId="0" fillId="5" borderId="0" xfId="1" applyNumberFormat="1" applyFont="1" applyFill="1" applyBorder="1" applyAlignment="1" applyProtection="1">
      <alignment horizontal="center" vertical="center"/>
    </xf>
    <xf numFmtId="168" fontId="0" fillId="5" borderId="8" xfId="1" applyNumberFormat="1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vertical="center"/>
    </xf>
    <xf numFmtId="169" fontId="15" fillId="0" borderId="0" xfId="0" applyNumberFormat="1" applyFont="1" applyAlignment="1" applyProtection="1">
      <alignment horizontal="center" vertical="center"/>
    </xf>
    <xf numFmtId="0" fontId="17" fillId="0" borderId="0" xfId="0" applyFont="1" applyAlignment="1" applyProtection="1">
      <alignment horizontal="right" vertical="center"/>
    </xf>
    <xf numFmtId="169" fontId="17" fillId="0" borderId="0" xfId="2" applyNumberFormat="1" applyFont="1" applyAlignment="1" applyProtection="1">
      <alignment horizontal="center" vertical="top"/>
    </xf>
    <xf numFmtId="169" fontId="0" fillId="0" borderId="0" xfId="0" applyNumberFormat="1" applyAlignment="1" applyProtection="1">
      <alignment horizontal="center" vertical="center"/>
    </xf>
    <xf numFmtId="168" fontId="8" fillId="0" borderId="0" xfId="1" applyNumberFormat="1" applyFont="1" applyAlignment="1" applyProtection="1">
      <alignment vertical="center"/>
    </xf>
    <xf numFmtId="171" fontId="0" fillId="0" borderId="0" xfId="0" applyNumberFormat="1" applyAlignment="1" applyProtection="1">
      <alignment vertical="center"/>
    </xf>
    <xf numFmtId="3" fontId="15" fillId="5" borderId="0" xfId="0" applyNumberFormat="1" applyFont="1" applyFill="1" applyBorder="1" applyAlignment="1" applyProtection="1">
      <alignment horizontal="right" vertical="center"/>
    </xf>
    <xf numFmtId="168" fontId="2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69" fontId="2" fillId="0" borderId="0" xfId="2" applyNumberFormat="1" applyFont="1" applyAlignment="1" applyProtection="1">
      <alignment vertical="center"/>
    </xf>
    <xf numFmtId="169" fontId="0" fillId="0" borderId="0" xfId="0" applyNumberFormat="1" applyAlignment="1" applyProtection="1">
      <alignment horizontal="center"/>
    </xf>
    <xf numFmtId="169" fontId="16" fillId="6" borderId="0" xfId="2" applyNumberFormat="1" applyFont="1" applyFill="1" applyAlignment="1" applyProtection="1">
      <alignment horizontal="center" vertical="top"/>
      <protection locked="0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wrapText="1"/>
    </xf>
    <xf numFmtId="0" fontId="9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</cellXfs>
  <cellStyles count="7">
    <cellStyle name="Millares" xfId="5" builtinId="3"/>
    <cellStyle name="Millares 2" xfId="4" xr:uid="{00000000-0005-0000-0000-000001000000}"/>
    <cellStyle name="Millares 3" xfId="6" xr:uid="{00000000-0005-0000-0000-000002000000}"/>
    <cellStyle name="Moneda" xfId="1" builtinId="4"/>
    <cellStyle name="Normal" xfId="0" builtinId="0"/>
    <cellStyle name="Porcentaje" xfId="2" builtinId="5"/>
    <cellStyle name="Porcentaje 2" xfId="3" xr:uid="{00000000-0005-0000-0000-000005000000}"/>
  </cellStyles>
  <dxfs count="0"/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46493333632442"/>
          <c:y val="3.8264354886673652E-2"/>
          <c:w val="0.85299719330552881"/>
          <c:h val="0.78100275116212869"/>
        </c:manualLayout>
      </c:layout>
      <c:lineChart>
        <c:grouping val="stacked"/>
        <c:varyColors val="0"/>
        <c:ser>
          <c:idx val="0"/>
          <c:order val="0"/>
          <c:tx>
            <c:strRef>
              <c:f>GRÁFICAS!$E$8:$F$8</c:f>
              <c:strCache>
                <c:ptCount val="2"/>
                <c:pt idx="0">
                  <c:v>Ahorros mensuales si muevo rutas papel --&gt; digital</c:v>
                </c:pt>
                <c:pt idx="1">
                  <c:v>5%</c:v>
                </c:pt>
              </c:strCache>
            </c:strRef>
          </c:tx>
          <c:cat>
            <c:strRef>
              <c:f>GRÁFICAS!$G$5:$R$7</c:f>
              <c:strCache>
                <c:ptCount val="12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  <c:pt idx="3">
                  <c:v>Mes 4</c:v>
                </c:pt>
                <c:pt idx="4">
                  <c:v>Mes 5</c:v>
                </c:pt>
                <c:pt idx="5">
                  <c:v>Mes 6</c:v>
                </c:pt>
                <c:pt idx="6">
                  <c:v>Mes 7</c:v>
                </c:pt>
                <c:pt idx="7">
                  <c:v>Mes 8</c:v>
                </c:pt>
                <c:pt idx="8">
                  <c:v>Mes 9</c:v>
                </c:pt>
                <c:pt idx="9">
                  <c:v>Mes 10</c:v>
                </c:pt>
                <c:pt idx="10">
                  <c:v>Mes 11</c:v>
                </c:pt>
                <c:pt idx="11">
                  <c:v>Mes 12</c:v>
                </c:pt>
              </c:strCache>
            </c:strRef>
          </c:cat>
          <c:val>
            <c:numRef>
              <c:f>GRÁFICAS!$G$8:$R$8</c:f>
              <c:numCache>
                <c:formatCode>_-* #,##0\ "€"_-;\-* #,##0\ "€"_-;_-* "-"??\ "€"_-;_-@_-</c:formatCode>
                <c:ptCount val="12"/>
                <c:pt idx="0">
                  <c:v>2427.4507796610228</c:v>
                </c:pt>
                <c:pt idx="1">
                  <c:v>2306.0782406779667</c:v>
                </c:pt>
                <c:pt idx="2">
                  <c:v>2190.7743286440673</c:v>
                </c:pt>
                <c:pt idx="3">
                  <c:v>2081.2356122118672</c:v>
                </c:pt>
                <c:pt idx="4">
                  <c:v>1977.1738316012725</c:v>
                </c:pt>
                <c:pt idx="5">
                  <c:v>1878.3151400212071</c:v>
                </c:pt>
                <c:pt idx="6">
                  <c:v>1784.39938302015</c:v>
                </c:pt>
                <c:pt idx="7">
                  <c:v>1695.1794138691389</c:v>
                </c:pt>
                <c:pt idx="8">
                  <c:v>1610.4204431756848</c:v>
                </c:pt>
                <c:pt idx="9">
                  <c:v>1529.8994210168992</c:v>
                </c:pt>
                <c:pt idx="10">
                  <c:v>1453.404449966057</c:v>
                </c:pt>
                <c:pt idx="11">
                  <c:v>1380.7342274677512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0-4C4C-84E4-DF095EAF10A1}"/>
            </c:ext>
          </c:extLst>
        </c:ser>
        <c:ser>
          <c:idx val="1"/>
          <c:order val="1"/>
          <c:tx>
            <c:strRef>
              <c:f>GRÁFICAS!$E$9:$F$9</c:f>
              <c:strCache>
                <c:ptCount val="2"/>
                <c:pt idx="0">
                  <c:v>Ahorros mensuales si muevo rutas papel --&gt; digital</c:v>
                </c:pt>
                <c:pt idx="1">
                  <c:v>10%</c:v>
                </c:pt>
              </c:strCache>
            </c:strRef>
          </c:tx>
          <c:cat>
            <c:strRef>
              <c:f>GRÁFICAS!$G$5:$R$7</c:f>
              <c:strCache>
                <c:ptCount val="12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  <c:pt idx="3">
                  <c:v>Mes 4</c:v>
                </c:pt>
                <c:pt idx="4">
                  <c:v>Mes 5</c:v>
                </c:pt>
                <c:pt idx="5">
                  <c:v>Mes 6</c:v>
                </c:pt>
                <c:pt idx="6">
                  <c:v>Mes 7</c:v>
                </c:pt>
                <c:pt idx="7">
                  <c:v>Mes 8</c:v>
                </c:pt>
                <c:pt idx="8">
                  <c:v>Mes 9</c:v>
                </c:pt>
                <c:pt idx="9">
                  <c:v>Mes 10</c:v>
                </c:pt>
                <c:pt idx="10">
                  <c:v>Mes 11</c:v>
                </c:pt>
                <c:pt idx="11">
                  <c:v>Mes 12</c:v>
                </c:pt>
              </c:strCache>
            </c:strRef>
          </c:cat>
          <c:val>
            <c:numRef>
              <c:f>GRÁFICAS!$G$9:$R$9</c:f>
              <c:numCache>
                <c:formatCode>_-* #,##0\ "€"_-;\-* #,##0\ "€"_-;_-* "-"??\ "€"_-;_-@_-</c:formatCode>
                <c:ptCount val="12"/>
                <c:pt idx="0">
                  <c:v>4854.9015593220311</c:v>
                </c:pt>
                <c:pt idx="1">
                  <c:v>4369.4114033898295</c:v>
                </c:pt>
                <c:pt idx="2">
                  <c:v>3932.47026305085</c:v>
                </c:pt>
                <c:pt idx="3">
                  <c:v>3539.223236745765</c:v>
                </c:pt>
                <c:pt idx="4">
                  <c:v>3185.3009130711835</c:v>
                </c:pt>
                <c:pt idx="5">
                  <c:v>2866.7708217640666</c:v>
                </c:pt>
                <c:pt idx="6">
                  <c:v>2580.0937395876613</c:v>
                </c:pt>
                <c:pt idx="7">
                  <c:v>2322.0843656288957</c:v>
                </c:pt>
                <c:pt idx="8">
                  <c:v>2089.8759290660064</c:v>
                </c:pt>
                <c:pt idx="9">
                  <c:v>1880.8883361594055</c:v>
                </c:pt>
                <c:pt idx="10">
                  <c:v>1692.799502543465</c:v>
                </c:pt>
                <c:pt idx="11">
                  <c:v>1523.5195522891158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0-4C4C-84E4-DF095EAF10A1}"/>
            </c:ext>
          </c:extLst>
        </c:ser>
        <c:ser>
          <c:idx val="2"/>
          <c:order val="2"/>
          <c:tx>
            <c:strRef>
              <c:f>GRÁFICAS!$E$10:$F$10</c:f>
              <c:strCache>
                <c:ptCount val="2"/>
                <c:pt idx="0">
                  <c:v>Ahorros mensuales si muevo rutas papel --&gt; digital</c:v>
                </c:pt>
                <c:pt idx="1">
                  <c:v>20%</c:v>
                </c:pt>
              </c:strCache>
            </c:strRef>
          </c:tx>
          <c:cat>
            <c:strRef>
              <c:f>GRÁFICAS!$G$5:$R$7</c:f>
              <c:strCache>
                <c:ptCount val="12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  <c:pt idx="3">
                  <c:v>Mes 4</c:v>
                </c:pt>
                <c:pt idx="4">
                  <c:v>Mes 5</c:v>
                </c:pt>
                <c:pt idx="5">
                  <c:v>Mes 6</c:v>
                </c:pt>
                <c:pt idx="6">
                  <c:v>Mes 7</c:v>
                </c:pt>
                <c:pt idx="7">
                  <c:v>Mes 8</c:v>
                </c:pt>
                <c:pt idx="8">
                  <c:v>Mes 9</c:v>
                </c:pt>
                <c:pt idx="9">
                  <c:v>Mes 10</c:v>
                </c:pt>
                <c:pt idx="10">
                  <c:v>Mes 11</c:v>
                </c:pt>
                <c:pt idx="11">
                  <c:v>Mes 12</c:v>
                </c:pt>
              </c:strCache>
            </c:strRef>
          </c:cat>
          <c:val>
            <c:numRef>
              <c:f>GRÁFICAS!$G$10:$R$10</c:f>
              <c:numCache>
                <c:formatCode>_-* #,##0\ "€"_-;\-* #,##0\ "€"_-;_-* "-"??\ "€"_-;_-@_-</c:formatCode>
                <c:ptCount val="12"/>
                <c:pt idx="0">
                  <c:v>9709.8031186440621</c:v>
                </c:pt>
                <c:pt idx="1">
                  <c:v>7767.842494915255</c:v>
                </c:pt>
                <c:pt idx="2">
                  <c:v>6214.2739959322016</c:v>
                </c:pt>
                <c:pt idx="3">
                  <c:v>4971.4191967457627</c:v>
                </c:pt>
                <c:pt idx="4">
                  <c:v>3977.1353573966112</c:v>
                </c:pt>
                <c:pt idx="5">
                  <c:v>3181.7082859172888</c:v>
                </c:pt>
                <c:pt idx="6">
                  <c:v>2545.366628733831</c:v>
                </c:pt>
                <c:pt idx="7">
                  <c:v>2036.2933029870635</c:v>
                </c:pt>
                <c:pt idx="8">
                  <c:v>1629.0346423896515</c:v>
                </c:pt>
                <c:pt idx="9">
                  <c:v>1303.2277139117211</c:v>
                </c:pt>
                <c:pt idx="10">
                  <c:v>1042.5821711293775</c:v>
                </c:pt>
                <c:pt idx="11">
                  <c:v>834.06573690350228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80-4C4C-84E4-DF095EAF1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876416"/>
        <c:axId val="204894592"/>
      </c:lineChart>
      <c:catAx>
        <c:axId val="204876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s-ES"/>
          </a:p>
        </c:txPr>
        <c:crossAx val="204894592"/>
        <c:crosses val="autoZero"/>
        <c:auto val="1"/>
        <c:lblAlgn val="ctr"/>
        <c:lblOffset val="100"/>
        <c:noMultiLvlLbl val="0"/>
      </c:catAx>
      <c:valAx>
        <c:axId val="204894592"/>
        <c:scaling>
          <c:orientation val="minMax"/>
        </c:scaling>
        <c:delete val="0"/>
        <c:axPos val="l"/>
        <c:majorGridlines/>
        <c:numFmt formatCode="_-* #,##0\ &quot;€&quot;_-;\-* #,##0\ &quot;€&quot;_-;_-* &quot;-&quot;??\ &quot;€&quot;_-;_-@_-" sourceLinked="1"/>
        <c:majorTickMark val="out"/>
        <c:minorTickMark val="none"/>
        <c:tickLblPos val="nextTo"/>
        <c:crossAx val="204876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9208485205247751"/>
          <c:y val="0.21723160673291911"/>
          <c:w val="0.58702260508034787"/>
          <c:h val="0.21181438527080673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9168645895489"/>
          <c:y val="3.7288059395598212E-2"/>
          <c:w val="0.8475961827208448"/>
          <c:h val="0.76845681940359889"/>
        </c:manualLayout>
      </c:layout>
      <c:lineChart>
        <c:grouping val="standard"/>
        <c:varyColors val="0"/>
        <c:ser>
          <c:idx val="0"/>
          <c:order val="0"/>
          <c:tx>
            <c:strRef>
              <c:f>GRÁFICAS!$E$12:$F$12</c:f>
              <c:strCache>
                <c:ptCount val="2"/>
                <c:pt idx="0">
                  <c:v>Ahorros mensuales acumulados si muevo rutas papel --&gt; digital</c:v>
                </c:pt>
                <c:pt idx="1">
                  <c:v>5%</c:v>
                </c:pt>
              </c:strCache>
            </c:strRef>
          </c:tx>
          <c:cat>
            <c:strRef>
              <c:f>GRÁFICAS!$G$5:$R$5</c:f>
              <c:strCache>
                <c:ptCount val="12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  <c:pt idx="3">
                  <c:v>Mes 4</c:v>
                </c:pt>
                <c:pt idx="4">
                  <c:v>Mes 5</c:v>
                </c:pt>
                <c:pt idx="5">
                  <c:v>Mes 6</c:v>
                </c:pt>
                <c:pt idx="6">
                  <c:v>Mes 7</c:v>
                </c:pt>
                <c:pt idx="7">
                  <c:v>Mes 8</c:v>
                </c:pt>
                <c:pt idx="8">
                  <c:v>Mes 9</c:v>
                </c:pt>
                <c:pt idx="9">
                  <c:v>Mes 10</c:v>
                </c:pt>
                <c:pt idx="10">
                  <c:v>Mes 11</c:v>
                </c:pt>
                <c:pt idx="11">
                  <c:v>Mes 12</c:v>
                </c:pt>
              </c:strCache>
            </c:strRef>
          </c:cat>
          <c:val>
            <c:numRef>
              <c:f>GRÁFICAS!$G$12:$R$12</c:f>
              <c:numCache>
                <c:formatCode>_-* #,##0\ "€"_-;\-* #,##0\ "€"_-;_-* "-"??\ "€"_-;_-@_-</c:formatCode>
                <c:ptCount val="12"/>
                <c:pt idx="0">
                  <c:v>2427.4507796610228</c:v>
                </c:pt>
                <c:pt idx="1">
                  <c:v>4733.5290203389895</c:v>
                </c:pt>
                <c:pt idx="2">
                  <c:v>6924.3033489830568</c:v>
                </c:pt>
                <c:pt idx="3">
                  <c:v>9005.5389611949249</c:v>
                </c:pt>
                <c:pt idx="4">
                  <c:v>10982.712792796197</c:v>
                </c:pt>
                <c:pt idx="5">
                  <c:v>12861.027932817404</c:v>
                </c:pt>
                <c:pt idx="6">
                  <c:v>14645.427315837554</c:v>
                </c:pt>
                <c:pt idx="7">
                  <c:v>16340.606729706693</c:v>
                </c:pt>
                <c:pt idx="8">
                  <c:v>17951.027172882379</c:v>
                </c:pt>
                <c:pt idx="9">
                  <c:v>19480.926593899279</c:v>
                </c:pt>
                <c:pt idx="10">
                  <c:v>20934.331043865335</c:v>
                </c:pt>
                <c:pt idx="11">
                  <c:v>22315.065271333086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6-486C-A75A-03F1879C10F9}"/>
            </c:ext>
          </c:extLst>
        </c:ser>
        <c:ser>
          <c:idx val="1"/>
          <c:order val="1"/>
          <c:tx>
            <c:strRef>
              <c:f>GRÁFICAS!$E$13:$F$13</c:f>
              <c:strCache>
                <c:ptCount val="2"/>
                <c:pt idx="0">
                  <c:v>Ahorros mensuales acumulados si muevo rutas papel --&gt; digital</c:v>
                </c:pt>
                <c:pt idx="1">
                  <c:v>10%</c:v>
                </c:pt>
              </c:strCache>
            </c:strRef>
          </c:tx>
          <c:cat>
            <c:strRef>
              <c:f>GRÁFICAS!$G$5:$R$5</c:f>
              <c:strCache>
                <c:ptCount val="12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  <c:pt idx="3">
                  <c:v>Mes 4</c:v>
                </c:pt>
                <c:pt idx="4">
                  <c:v>Mes 5</c:v>
                </c:pt>
                <c:pt idx="5">
                  <c:v>Mes 6</c:v>
                </c:pt>
                <c:pt idx="6">
                  <c:v>Mes 7</c:v>
                </c:pt>
                <c:pt idx="7">
                  <c:v>Mes 8</c:v>
                </c:pt>
                <c:pt idx="8">
                  <c:v>Mes 9</c:v>
                </c:pt>
                <c:pt idx="9">
                  <c:v>Mes 10</c:v>
                </c:pt>
                <c:pt idx="10">
                  <c:v>Mes 11</c:v>
                </c:pt>
                <c:pt idx="11">
                  <c:v>Mes 12</c:v>
                </c:pt>
              </c:strCache>
            </c:strRef>
          </c:cat>
          <c:val>
            <c:numRef>
              <c:f>GRÁFICAS!$G$13:$R$13</c:f>
              <c:numCache>
                <c:formatCode>_-* #,##0\ "€"_-;\-* #,##0\ "€"_-;_-* "-"??\ "€"_-;_-@_-</c:formatCode>
                <c:ptCount val="12"/>
                <c:pt idx="0">
                  <c:v>4854.9015593220311</c:v>
                </c:pt>
                <c:pt idx="1">
                  <c:v>9224.3129627118615</c:v>
                </c:pt>
                <c:pt idx="2">
                  <c:v>13156.783225762712</c:v>
                </c:pt>
                <c:pt idx="3">
                  <c:v>16696.006462508478</c:v>
                </c:pt>
                <c:pt idx="4">
                  <c:v>19881.307375579661</c:v>
                </c:pt>
                <c:pt idx="5">
                  <c:v>22748.078197343726</c:v>
                </c:pt>
                <c:pt idx="6">
                  <c:v>25328.171936931387</c:v>
                </c:pt>
                <c:pt idx="7">
                  <c:v>27650.256302560283</c:v>
                </c:pt>
                <c:pt idx="8">
                  <c:v>29740.132231626289</c:v>
                </c:pt>
                <c:pt idx="9">
                  <c:v>31621.020567785694</c:v>
                </c:pt>
                <c:pt idx="10">
                  <c:v>33313.820070329159</c:v>
                </c:pt>
                <c:pt idx="11">
                  <c:v>34837.339622618274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6-486C-A75A-03F1879C10F9}"/>
            </c:ext>
          </c:extLst>
        </c:ser>
        <c:ser>
          <c:idx val="2"/>
          <c:order val="2"/>
          <c:tx>
            <c:strRef>
              <c:f>GRÁFICAS!$E$14:$F$14</c:f>
              <c:strCache>
                <c:ptCount val="2"/>
                <c:pt idx="0">
                  <c:v>Ahorros mensuales acumulados si muevo rutas papel --&gt; digital</c:v>
                </c:pt>
                <c:pt idx="1">
                  <c:v>20%</c:v>
                </c:pt>
              </c:strCache>
            </c:strRef>
          </c:tx>
          <c:cat>
            <c:strRef>
              <c:f>GRÁFICAS!$G$5:$R$5</c:f>
              <c:strCache>
                <c:ptCount val="12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  <c:pt idx="3">
                  <c:v>Mes 4</c:v>
                </c:pt>
                <c:pt idx="4">
                  <c:v>Mes 5</c:v>
                </c:pt>
                <c:pt idx="5">
                  <c:v>Mes 6</c:v>
                </c:pt>
                <c:pt idx="6">
                  <c:v>Mes 7</c:v>
                </c:pt>
                <c:pt idx="7">
                  <c:v>Mes 8</c:v>
                </c:pt>
                <c:pt idx="8">
                  <c:v>Mes 9</c:v>
                </c:pt>
                <c:pt idx="9">
                  <c:v>Mes 10</c:v>
                </c:pt>
                <c:pt idx="10">
                  <c:v>Mes 11</c:v>
                </c:pt>
                <c:pt idx="11">
                  <c:v>Mes 12</c:v>
                </c:pt>
              </c:strCache>
            </c:strRef>
          </c:cat>
          <c:val>
            <c:numRef>
              <c:f>GRÁFICAS!$G$14:$R$14</c:f>
              <c:numCache>
                <c:formatCode>_-* #,##0\ "€"_-;\-* #,##0\ "€"_-;_-* "-"??\ "€"_-;_-@_-</c:formatCode>
                <c:ptCount val="12"/>
                <c:pt idx="0">
                  <c:v>9709.8031186440621</c:v>
                </c:pt>
                <c:pt idx="1">
                  <c:v>17477.645613559318</c:v>
                </c:pt>
                <c:pt idx="2">
                  <c:v>23691.919609491521</c:v>
                </c:pt>
                <c:pt idx="3">
                  <c:v>28663.338806237283</c:v>
                </c:pt>
                <c:pt idx="4">
                  <c:v>32640.474163633895</c:v>
                </c:pt>
                <c:pt idx="5">
                  <c:v>35822.182449551183</c:v>
                </c:pt>
                <c:pt idx="6">
                  <c:v>38367.54907828501</c:v>
                </c:pt>
                <c:pt idx="7">
                  <c:v>40403.842381272072</c:v>
                </c:pt>
                <c:pt idx="8">
                  <c:v>42032.87702366172</c:v>
                </c:pt>
                <c:pt idx="9">
                  <c:v>43336.104737573442</c:v>
                </c:pt>
                <c:pt idx="10">
                  <c:v>44378.686908702817</c:v>
                </c:pt>
                <c:pt idx="11">
                  <c:v>45212.752645606321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06-486C-A75A-03F1879C1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919936"/>
        <c:axId val="204921472"/>
      </c:lineChart>
      <c:catAx>
        <c:axId val="204919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s-ES"/>
          </a:p>
        </c:txPr>
        <c:crossAx val="204921472"/>
        <c:crosses val="autoZero"/>
        <c:auto val="1"/>
        <c:lblAlgn val="ctr"/>
        <c:lblOffset val="100"/>
        <c:noMultiLvlLbl val="0"/>
      </c:catAx>
      <c:valAx>
        <c:axId val="204921472"/>
        <c:scaling>
          <c:orientation val="minMax"/>
        </c:scaling>
        <c:delete val="0"/>
        <c:axPos val="l"/>
        <c:majorGridlines/>
        <c:numFmt formatCode="_-* #,##0\ &quot;€&quot;_-;\-* #,##0\ &quot;€&quot;_-;_-* &quot;-&quot;??\ &quot;€&quot;_-;_-@_-" sourceLinked="1"/>
        <c:majorTickMark val="out"/>
        <c:minorTickMark val="none"/>
        <c:tickLblPos val="nextTo"/>
        <c:crossAx val="204919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031362321747998"/>
          <c:y val="0.16690896314826437"/>
          <c:w val="0.64087918150358592"/>
          <c:h val="0.2132577004700609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902354470798584"/>
          <c:y val="5.6158264199106571E-2"/>
        </c:manualLayout>
      </c:layout>
      <c:overlay val="0"/>
      <c:txPr>
        <a:bodyPr/>
        <a:lstStyle/>
        <a:p>
          <a:pPr>
            <a:defRPr sz="1500" baseline="0"/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9898826198100772"/>
          <c:y val="0.22814521889018771"/>
          <c:w val="0.73363963991218262"/>
          <c:h val="0.7381383480804214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GRÁFICAS!$T$38</c:f>
              <c:strCache>
                <c:ptCount val="1"/>
                <c:pt idx="0">
                  <c:v>AHORROS MENSUALES POR CONCEPTO PARA LA SIMULACIÓN ELEGIDA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0-3389-494F-90B6-8D29F8380CF5}"/>
              </c:ext>
            </c:extLst>
          </c:dPt>
          <c:cat>
            <c:strRef>
              <c:f>GRÁFICAS!$U$40:$U$46</c:f>
              <c:strCache>
                <c:ptCount val="7"/>
                <c:pt idx="0">
                  <c:v>COSTES ADMINISTRATIVOS</c:v>
                </c:pt>
                <c:pt idx="1">
                  <c:v>COSTES PAPEL --&gt; DIGITAL</c:v>
                </c:pt>
                <c:pt idx="2">
                  <c:v>PERDIDA DE FACTURACIÓN POR INCOBRO 
(ANUAL CONSOLIDADO/12)</c:v>
                </c:pt>
                <c:pt idx="3">
                  <c:v>RETRASO DE FACTURACIÓN &gt; 6 MESES 
POR DISCREPANCIAS EN DOCUMENTOS</c:v>
                </c:pt>
                <c:pt idx="4">
                  <c:v>POR DIAS PARA DAR POR CERRADO UN PORTE 
(ENVÍO DE COPIA ORIGINAL)</c:v>
                </c:pt>
                <c:pt idx="5">
                  <c:v>MENOR FACTURACIÓN POR LITIGIOS 
(PENALIZACIONES + GASTOS JURIDICOS)</c:v>
                </c:pt>
                <c:pt idx="6">
                  <c:v>INCIDENCIAS EN INSPECCIÓN 
(MULTAS, INMOVILIZACIONES)</c:v>
                </c:pt>
              </c:strCache>
            </c:strRef>
          </c:cat>
          <c:val>
            <c:numRef>
              <c:f>GRÁFICAS!$T$40:$T$46</c:f>
              <c:numCache>
                <c:formatCode>"€"#,##0_);[Red]\("€"#,##0\)</c:formatCode>
                <c:ptCount val="7"/>
                <c:pt idx="0">
                  <c:v>13608.135593220337</c:v>
                </c:pt>
                <c:pt idx="1">
                  <c:v>-673.92000000000019</c:v>
                </c:pt>
                <c:pt idx="2">
                  <c:v>17856</c:v>
                </c:pt>
                <c:pt idx="3">
                  <c:v>892.80000000000007</c:v>
                </c:pt>
                <c:pt idx="4">
                  <c:v>15440</c:v>
                </c:pt>
                <c:pt idx="5">
                  <c:v>775</c:v>
                </c:pt>
                <c:pt idx="6">
                  <c:v>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89-494F-90B6-8D29F8380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736768"/>
        <c:axId val="211285888"/>
      </c:barChart>
      <c:valAx>
        <c:axId val="211285888"/>
        <c:scaling>
          <c:orientation val="minMax"/>
        </c:scaling>
        <c:delete val="0"/>
        <c:axPos val="t"/>
        <c:majorGridlines/>
        <c:numFmt formatCode="&quot;€&quot;#,##0_);[Red]\(&quot;€&quot;#,##0\)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s-ES"/>
          </a:p>
        </c:txPr>
        <c:crossAx val="206736768"/>
        <c:crosses val="autoZero"/>
        <c:crossBetween val="between"/>
      </c:valAx>
      <c:catAx>
        <c:axId val="2067367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211285888"/>
        <c:crosses val="autoZero"/>
        <c:auto val="1"/>
        <c:lblAlgn val="ctr"/>
        <c:lblOffset val="5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788277</xdr:colOff>
      <xdr:row>3</xdr:row>
      <xdr:rowOff>361293</xdr:rowOff>
    </xdr:from>
    <xdr:to>
      <xdr:col>12</xdr:col>
      <xdr:colOff>705872</xdr:colOff>
      <xdr:row>10</xdr:row>
      <xdr:rowOff>105834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29139" y="1160517"/>
          <a:ext cx="11599405" cy="1353938"/>
        </a:xfrm>
        <a:prstGeom prst="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711637</xdr:colOff>
      <xdr:row>24</xdr:row>
      <xdr:rowOff>131379</xdr:rowOff>
    </xdr:from>
    <xdr:to>
      <xdr:col>15</xdr:col>
      <xdr:colOff>635000</xdr:colOff>
      <xdr:row>31</xdr:row>
      <xdr:rowOff>69624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52499" y="4401207"/>
          <a:ext cx="13827673" cy="1241089"/>
        </a:xfrm>
        <a:prstGeom prst="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687916</xdr:colOff>
      <xdr:row>34</xdr:row>
      <xdr:rowOff>105834</xdr:rowOff>
    </xdr:from>
    <xdr:to>
      <xdr:col>15</xdr:col>
      <xdr:colOff>656896</xdr:colOff>
      <xdr:row>45</xdr:row>
      <xdr:rowOff>156634</xdr:rowOff>
    </xdr:to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8778" y="5547127"/>
          <a:ext cx="13818549" cy="2087179"/>
        </a:xfrm>
        <a:prstGeom prst="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719666</xdr:colOff>
      <xdr:row>48</xdr:row>
      <xdr:rowOff>103717</xdr:rowOff>
    </xdr:from>
    <xdr:to>
      <xdr:col>15</xdr:col>
      <xdr:colOff>678792</xdr:colOff>
      <xdr:row>51</xdr:row>
      <xdr:rowOff>95250</xdr:rowOff>
    </xdr:to>
    <xdr:sp macro="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60528" y="7767510"/>
          <a:ext cx="13808695" cy="549895"/>
        </a:xfrm>
        <a:prstGeom prst="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723901</xdr:colOff>
      <xdr:row>54</xdr:row>
      <xdr:rowOff>109483</xdr:rowOff>
    </xdr:from>
    <xdr:to>
      <xdr:col>15</xdr:col>
      <xdr:colOff>678793</xdr:colOff>
      <xdr:row>59</xdr:row>
      <xdr:rowOff>99483</xdr:rowOff>
    </xdr:to>
    <xdr:sp macro="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64763" y="10203793"/>
          <a:ext cx="13859202" cy="920604"/>
        </a:xfrm>
        <a:prstGeom prst="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706957</xdr:colOff>
      <xdr:row>62</xdr:row>
      <xdr:rowOff>143934</xdr:rowOff>
    </xdr:from>
    <xdr:to>
      <xdr:col>15</xdr:col>
      <xdr:colOff>711638</xdr:colOff>
      <xdr:row>66</xdr:row>
      <xdr:rowOff>135467</xdr:rowOff>
    </xdr:to>
    <xdr:sp macro="" textlink="">
      <xdr:nvSpPr>
        <xdr:cNvPr id="9" name="8 Rectángul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47819" y="9493762"/>
          <a:ext cx="13854250" cy="746964"/>
        </a:xfrm>
        <a:prstGeom prst="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821121</xdr:colOff>
      <xdr:row>3</xdr:row>
      <xdr:rowOff>32846</xdr:rowOff>
    </xdr:from>
    <xdr:to>
      <xdr:col>1</xdr:col>
      <xdr:colOff>4795345</xdr:colOff>
      <xdr:row>3</xdr:row>
      <xdr:rowOff>361294</xdr:rowOff>
    </xdr:to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61983" y="832070"/>
          <a:ext cx="3974224" cy="328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600" b="1">
              <a:solidFill>
                <a:schemeClr val="accent5">
                  <a:lumMod val="75000"/>
                </a:schemeClr>
              </a:solidFill>
            </a:rPr>
            <a:t>AHORRO EN </a:t>
          </a:r>
          <a:r>
            <a:rPr lang="es-ES" sz="1600" b="1" baseline="0">
              <a:solidFill>
                <a:schemeClr val="accent5">
                  <a:lumMod val="75000"/>
                </a:schemeClr>
              </a:solidFill>
            </a:rPr>
            <a:t> PERSONAL  </a:t>
          </a:r>
          <a:r>
            <a:rPr lang="es-ES" sz="1600" b="1" baseline="0">
              <a:ln>
                <a:noFill/>
              </a:ln>
              <a:solidFill>
                <a:schemeClr val="accent5">
                  <a:lumMod val="75000"/>
                </a:schemeClr>
              </a:solidFill>
            </a:rPr>
            <a:t>ADMINISTRATIVO</a:t>
          </a:r>
          <a:endParaRPr lang="es-ES" sz="1600" b="1">
            <a:ln>
              <a:noFill/>
            </a:ln>
            <a:solidFill>
              <a:schemeClr val="accent5">
                <a:lumMod val="75000"/>
              </a:schemeClr>
            </a:solidFill>
          </a:endParaRPr>
        </a:p>
      </xdr:txBody>
    </xdr:sp>
    <xdr:clientData/>
  </xdr:twoCellAnchor>
  <xdr:twoCellAnchor>
    <xdr:from>
      <xdr:col>1</xdr:col>
      <xdr:colOff>754556</xdr:colOff>
      <xdr:row>23</xdr:row>
      <xdr:rowOff>10948</xdr:rowOff>
    </xdr:from>
    <xdr:to>
      <xdr:col>3</xdr:col>
      <xdr:colOff>142328</xdr:colOff>
      <xdr:row>24</xdr:row>
      <xdr:rowOff>131379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95418" y="4039914"/>
          <a:ext cx="4850962" cy="3612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600" b="1">
              <a:solidFill>
                <a:schemeClr val="accent5">
                  <a:lumMod val="75000"/>
                </a:schemeClr>
              </a:solidFill>
            </a:rPr>
            <a:t>AHORRO EN </a:t>
          </a:r>
          <a:r>
            <a:rPr lang="es-ES" sz="1600" b="1" baseline="0">
              <a:solidFill>
                <a:schemeClr val="accent5">
                  <a:lumMod val="75000"/>
                </a:schemeClr>
              </a:solidFill>
            </a:rPr>
            <a:t>GASTO DE PAPEL vs GASTO DIGITAL</a:t>
          </a:r>
          <a:endParaRPr lang="es-ES" sz="1600" b="1">
            <a:ln>
              <a:noFill/>
            </a:ln>
            <a:solidFill>
              <a:schemeClr val="accent5">
                <a:lumMod val="75000"/>
              </a:schemeClr>
            </a:solidFill>
          </a:endParaRPr>
        </a:p>
      </xdr:txBody>
    </xdr:sp>
    <xdr:clientData/>
  </xdr:twoCellAnchor>
  <xdr:twoCellAnchor>
    <xdr:from>
      <xdr:col>1</xdr:col>
      <xdr:colOff>830321</xdr:colOff>
      <xdr:row>32</xdr:row>
      <xdr:rowOff>142327</xdr:rowOff>
    </xdr:from>
    <xdr:to>
      <xdr:col>9</xdr:col>
      <xdr:colOff>1828361</xdr:colOff>
      <xdr:row>34</xdr:row>
      <xdr:rowOff>120429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71183" y="6974051"/>
          <a:ext cx="9209247" cy="350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600" b="1">
              <a:solidFill>
                <a:schemeClr val="accent5">
                  <a:lumMod val="75000"/>
                </a:schemeClr>
              </a:solidFill>
            </a:rPr>
            <a:t>AHORRO EN </a:t>
          </a:r>
          <a:r>
            <a:rPr lang="es-ES" sz="1600" b="1" baseline="0">
              <a:solidFill>
                <a:schemeClr val="accent5">
                  <a:lumMod val="75000"/>
                </a:schemeClr>
              </a:solidFill>
            </a:rPr>
            <a:t>IMPAGOS O RETRASOS DE PAGO POR DISCREPANCIA ENTRE LAS PARTES</a:t>
          </a:r>
          <a:endParaRPr lang="es-ES" sz="1600" b="1">
            <a:ln>
              <a:noFill/>
            </a:ln>
            <a:solidFill>
              <a:schemeClr val="accent5">
                <a:lumMod val="75000"/>
              </a:schemeClr>
            </a:solidFill>
          </a:endParaRPr>
        </a:p>
      </xdr:txBody>
    </xdr:sp>
    <xdr:clientData/>
  </xdr:twoCellAnchor>
  <xdr:twoCellAnchor>
    <xdr:from>
      <xdr:col>1</xdr:col>
      <xdr:colOff>840397</xdr:colOff>
      <xdr:row>46</xdr:row>
      <xdr:rowOff>119514</xdr:rowOff>
    </xdr:from>
    <xdr:to>
      <xdr:col>12</xdr:col>
      <xdr:colOff>295604</xdr:colOff>
      <xdr:row>48</xdr:row>
      <xdr:rowOff>97617</xdr:rowOff>
    </xdr:to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81259" y="8724859"/>
          <a:ext cx="11137017" cy="350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600" b="1">
              <a:solidFill>
                <a:schemeClr val="accent5">
                  <a:lumMod val="75000"/>
                </a:schemeClr>
              </a:solidFill>
            </a:rPr>
            <a:t>AHORRO EN </a:t>
          </a:r>
          <a:r>
            <a:rPr lang="es-ES" sz="1600" b="1" baseline="0">
              <a:solidFill>
                <a:schemeClr val="accent5">
                  <a:lumMod val="75000"/>
                </a:schemeClr>
              </a:solidFill>
            </a:rPr>
            <a:t>RETRASOS DE PAGO POR  INDISPONIBILIDAD DEL DOCUMENTO FIRMADO TRAS ENTREGA</a:t>
          </a:r>
          <a:endParaRPr lang="es-ES" sz="1600" b="1">
            <a:ln>
              <a:noFill/>
            </a:ln>
            <a:solidFill>
              <a:schemeClr val="accent5">
                <a:lumMod val="75000"/>
              </a:schemeClr>
            </a:solidFill>
          </a:endParaRPr>
        </a:p>
      </xdr:txBody>
    </xdr:sp>
    <xdr:clientData/>
  </xdr:twoCellAnchor>
  <xdr:twoCellAnchor>
    <xdr:from>
      <xdr:col>1</xdr:col>
      <xdr:colOff>840397</xdr:colOff>
      <xdr:row>52</xdr:row>
      <xdr:rowOff>130467</xdr:rowOff>
    </xdr:from>
    <xdr:to>
      <xdr:col>12</xdr:col>
      <xdr:colOff>295604</xdr:colOff>
      <xdr:row>54</xdr:row>
      <xdr:rowOff>108570</xdr:rowOff>
    </xdr:to>
    <xdr:sp macro="" textlink="">
      <xdr:nvSpPr>
        <xdr:cNvPr id="14" name="13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81259" y="9852536"/>
          <a:ext cx="11137017" cy="350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600" b="1">
              <a:solidFill>
                <a:schemeClr val="accent5">
                  <a:lumMod val="75000"/>
                </a:schemeClr>
              </a:solidFill>
            </a:rPr>
            <a:t>AHORRO EN </a:t>
          </a:r>
          <a:r>
            <a:rPr lang="es-ES" sz="1600" b="1" baseline="0">
              <a:solidFill>
                <a:schemeClr val="accent5">
                  <a:lumMod val="75000"/>
                </a:schemeClr>
              </a:solidFill>
            </a:rPr>
            <a:t>PREVENCIÓN/ REDUCCIÓN DE LITIGIOS ENTRE LAS PARTES</a:t>
          </a:r>
          <a:endParaRPr lang="es-ES" sz="1600" b="1">
            <a:ln>
              <a:noFill/>
            </a:ln>
            <a:solidFill>
              <a:schemeClr val="accent5">
                <a:lumMod val="75000"/>
              </a:schemeClr>
            </a:solidFill>
          </a:endParaRPr>
        </a:p>
      </xdr:txBody>
    </xdr:sp>
    <xdr:clientData/>
  </xdr:twoCellAnchor>
  <xdr:twoCellAnchor>
    <xdr:from>
      <xdr:col>1</xdr:col>
      <xdr:colOff>839525</xdr:colOff>
      <xdr:row>60</xdr:row>
      <xdr:rowOff>162406</xdr:rowOff>
    </xdr:from>
    <xdr:to>
      <xdr:col>12</xdr:col>
      <xdr:colOff>294732</xdr:colOff>
      <xdr:row>62</xdr:row>
      <xdr:rowOff>140509</xdr:rowOff>
    </xdr:to>
    <xdr:sp macro="" textlink="">
      <xdr:nvSpPr>
        <xdr:cNvPr id="15" name="14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080387" y="11198268"/>
          <a:ext cx="11137017" cy="350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600" b="1">
              <a:solidFill>
                <a:schemeClr val="accent5">
                  <a:lumMod val="75000"/>
                </a:schemeClr>
              </a:solidFill>
            </a:rPr>
            <a:t>AHORRO EN </a:t>
          </a:r>
          <a:r>
            <a:rPr lang="es-ES" sz="1600" b="1" baseline="0">
              <a:solidFill>
                <a:schemeClr val="accent5">
                  <a:lumMod val="75000"/>
                </a:schemeClr>
              </a:solidFill>
            </a:rPr>
            <a:t>PREVENCIÓN/ REDUCCIÓN  DE  SANCIONES POR  INSPECCIÓN EN CARRETERA</a:t>
          </a:r>
          <a:endParaRPr lang="es-ES" sz="1600" b="1">
            <a:ln>
              <a:noFill/>
            </a:ln>
            <a:solidFill>
              <a:schemeClr val="accent5">
                <a:lumMod val="75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141697</xdr:colOff>
      <xdr:row>11</xdr:row>
      <xdr:rowOff>98533</xdr:rowOff>
    </xdr:from>
    <xdr:to>
      <xdr:col>1</xdr:col>
      <xdr:colOff>1706179</xdr:colOff>
      <xdr:row>19</xdr:row>
      <xdr:rowOff>15764</xdr:rowOff>
    </xdr:to>
    <xdr:pic>
      <xdr:nvPicPr>
        <xdr:cNvPr id="2049" name="Picture 1" descr="Descargas – TransFollow | El estándar de cartas de porte digitales ...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2559" y="2693274"/>
          <a:ext cx="1564482" cy="148283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1025770</xdr:colOff>
      <xdr:row>16</xdr:row>
      <xdr:rowOff>73268</xdr:rowOff>
    </xdr:from>
    <xdr:to>
      <xdr:col>5</xdr:col>
      <xdr:colOff>1515637</xdr:colOff>
      <xdr:row>23</xdr:row>
      <xdr:rowOff>633</xdr:rowOff>
    </xdr:to>
    <xdr:pic>
      <xdr:nvPicPr>
        <xdr:cNvPr id="2" name="Picture 1" descr="Descargas – TransFollow | El estándar de cartas de porte digitales ..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8847" y="268653"/>
          <a:ext cx="1564482" cy="148283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459584</xdr:colOff>
      <xdr:row>15</xdr:row>
      <xdr:rowOff>157162</xdr:rowOff>
    </xdr:from>
    <xdr:to>
      <xdr:col>8</xdr:col>
      <xdr:colOff>635794</xdr:colOff>
      <xdr:row>33</xdr:row>
      <xdr:rowOff>71437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145256</xdr:colOff>
      <xdr:row>15</xdr:row>
      <xdr:rowOff>157162</xdr:rowOff>
    </xdr:from>
    <xdr:to>
      <xdr:col>17</xdr:col>
      <xdr:colOff>30956</xdr:colOff>
      <xdr:row>33</xdr:row>
      <xdr:rowOff>95249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296334</xdr:colOff>
      <xdr:row>37</xdr:row>
      <xdr:rowOff>74084</xdr:rowOff>
    </xdr:from>
    <xdr:to>
      <xdr:col>17</xdr:col>
      <xdr:colOff>592667</xdr:colOff>
      <xdr:row>56</xdr:row>
      <xdr:rowOff>57728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452437</xdr:colOff>
      <xdr:row>37</xdr:row>
      <xdr:rowOff>144198</xdr:rowOff>
    </xdr:from>
    <xdr:to>
      <xdr:col>9</xdr:col>
      <xdr:colOff>780520</xdr:colOff>
      <xdr:row>41</xdr:row>
      <xdr:rowOff>306917</xdr:rowOff>
    </xdr:to>
    <xdr:pic>
      <xdr:nvPicPr>
        <xdr:cNvPr id="7" name="Picture 1" descr="Descargas – TransFollow | El estándar de cartas de porte digitales ...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590770" y="6261365"/>
          <a:ext cx="1132417" cy="998802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328611</xdr:colOff>
      <xdr:row>25</xdr:row>
      <xdr:rowOff>33044</xdr:rowOff>
    </xdr:from>
    <xdr:to>
      <xdr:col>16</xdr:col>
      <xdr:colOff>238125</xdr:colOff>
      <xdr:row>28</xdr:row>
      <xdr:rowOff>98014</xdr:rowOff>
    </xdr:to>
    <xdr:pic>
      <xdr:nvPicPr>
        <xdr:cNvPr id="8" name="Picture 1" descr="Descargas – TransFollow | El estándar de cartas de porte digitales ...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496674" y="4605044"/>
          <a:ext cx="671514" cy="63647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0.26545</cdr:x>
      <cdr:y>0.09036</cdr:y>
    </cdr:from>
    <cdr:to>
      <cdr:x>0.37718</cdr:x>
      <cdr:y>0.29163</cdr:y>
    </cdr:to>
    <cdr:pic>
      <cdr:nvPicPr>
        <cdr:cNvPr id="2" name="Picture 1" descr="Descargas – TransFollow | El estándar de cartas de porte digitales ...">
          <a:extLst xmlns:a="http://schemas.openxmlformats.org/drawingml/2006/main">
            <a:ext uri="{FF2B5EF4-FFF2-40B4-BE49-F238E27FC236}">
              <a16:creationId xmlns:a16="http://schemas.microsoft.com/office/drawing/2014/main" id="{98F02C8B-CAF6-4D41-82C2-587093857F6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5437" y="285750"/>
          <a:ext cx="671514" cy="63647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0.36727</cdr:x>
      <cdr:y>0.04915</cdr:y>
    </cdr:from>
    <cdr:to>
      <cdr:x>0.84073</cdr:x>
      <cdr:y>0.18091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207415" y="164306"/>
          <a:ext cx="2845594" cy="4405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600" b="1"/>
            <a:t>AHORROS MENSUALES</a:t>
          </a:r>
          <a:r>
            <a:rPr lang="es-ES" sz="1600" b="1" baseline="0"/>
            <a:t> </a:t>
          </a:r>
          <a:endParaRPr lang="es-ES" sz="1600" b="1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0.12142</cdr:x>
      <cdr:y>0.0389</cdr:y>
    </cdr:from>
    <cdr:to>
      <cdr:x>0.75199</cdr:x>
      <cdr:y>0.16973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726281" y="130969"/>
          <a:ext cx="3771900" cy="4405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s-ES" sz="1600" b="1"/>
            <a:t>AHORROS MENSUALES ACUMULADOS</a:t>
          </a:r>
          <a:r>
            <a:rPr lang="es-ES" sz="1600" b="1" baseline="0"/>
            <a:t> </a:t>
          </a:r>
          <a:endParaRPr lang="es-ES" sz="1600" b="1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67"/>
  <sheetViews>
    <sheetView showGridLines="0" tabSelected="1" topLeftCell="A3" zoomScale="55" zoomScaleNormal="55" workbookViewId="0">
      <selection activeCell="U30" sqref="U30"/>
    </sheetView>
  </sheetViews>
  <sheetFormatPr baseColWidth="10" defaultColWidth="11.44140625" defaultRowHeight="14.4" x14ac:dyDescent="0.3"/>
  <cols>
    <col min="1" max="1" width="3.5546875" style="47" customWidth="1"/>
    <col min="2" max="2" width="79.77734375" style="47" customWidth="1"/>
    <col min="3" max="3" width="2.21875" style="47" customWidth="1"/>
    <col min="4" max="4" width="12.44140625" style="47" customWidth="1"/>
    <col min="5" max="5" width="2" style="47" customWidth="1"/>
    <col min="6" max="6" width="11" style="47" bestFit="1" customWidth="1"/>
    <col min="7" max="7" width="1.44140625" style="47" customWidth="1"/>
    <col min="8" max="8" width="12.21875" style="47" customWidth="1"/>
    <col min="9" max="9" width="2.44140625" style="48" customWidth="1"/>
    <col min="10" max="10" width="45.21875" style="48" customWidth="1"/>
    <col min="11" max="11" width="1.44140625" style="48" customWidth="1"/>
    <col min="12" max="12" width="5.21875" style="47" customWidth="1"/>
    <col min="13" max="13" width="18.5546875" style="47" customWidth="1"/>
    <col min="14" max="14" width="1.21875" style="47" customWidth="1"/>
    <col min="15" max="15" width="13.44140625" style="47" customWidth="1"/>
    <col min="16" max="16" width="12.77734375" style="47" customWidth="1"/>
    <col min="17" max="17" width="12.44140625" style="49" customWidth="1"/>
    <col min="18" max="18" width="2.44140625" style="49" customWidth="1"/>
    <col min="19" max="19" width="12.44140625" style="47" customWidth="1"/>
    <col min="20" max="20" width="2.21875" style="47" customWidth="1"/>
    <col min="21" max="21" width="12.21875" style="47" customWidth="1"/>
    <col min="22" max="22" width="12.77734375" style="47" customWidth="1"/>
    <col min="23" max="23" width="13.21875" style="47" customWidth="1"/>
    <col min="24" max="24" width="15.77734375" style="47" customWidth="1"/>
    <col min="25" max="25" width="3.5546875" style="47" customWidth="1"/>
    <col min="26" max="26" width="12.5546875" style="48" customWidth="1"/>
    <col min="27" max="28" width="13.21875" style="48" bestFit="1" customWidth="1"/>
    <col min="29" max="29" width="17.21875" style="48" customWidth="1"/>
    <col min="30" max="30" width="2.21875" style="47" customWidth="1"/>
    <col min="31" max="31" width="12.5546875" style="48" customWidth="1"/>
    <col min="32" max="32" width="13.44140625" style="47" customWidth="1"/>
    <col min="33" max="33" width="12.77734375" style="47" customWidth="1"/>
    <col min="34" max="34" width="16.77734375" style="47" customWidth="1"/>
    <col min="35" max="16384" width="11.44140625" style="47"/>
  </cols>
  <sheetData>
    <row r="1" spans="2:30" ht="17.100000000000001" customHeight="1" x14ac:dyDescent="0.3">
      <c r="V1" s="50"/>
      <c r="W1" s="51"/>
      <c r="X1" s="51"/>
      <c r="Y1" s="52"/>
    </row>
    <row r="2" spans="2:30" ht="25.8" x14ac:dyDescent="0.3">
      <c r="H2" s="53" t="s">
        <v>58</v>
      </c>
      <c r="I2" s="54"/>
      <c r="J2" s="54"/>
      <c r="K2" s="54"/>
      <c r="L2" s="54"/>
      <c r="M2" s="54"/>
      <c r="N2" s="54"/>
    </row>
    <row r="3" spans="2:30" ht="21" x14ac:dyDescent="0.3">
      <c r="B3" s="187"/>
      <c r="C3" s="187"/>
      <c r="D3" s="187"/>
      <c r="E3" s="187"/>
      <c r="F3" s="187"/>
      <c r="G3" s="187"/>
      <c r="H3" s="187"/>
      <c r="I3" s="55"/>
      <c r="J3" s="55"/>
      <c r="K3" s="55"/>
      <c r="L3" s="55"/>
      <c r="M3" s="55"/>
      <c r="O3" s="188" t="s">
        <v>112</v>
      </c>
      <c r="P3" s="188"/>
      <c r="Q3" s="188"/>
      <c r="R3" s="56"/>
    </row>
    <row r="4" spans="2:30" ht="39" customHeight="1" x14ac:dyDescent="0.3">
      <c r="M4" s="57"/>
      <c r="N4" s="57"/>
      <c r="O4" s="188"/>
      <c r="P4" s="188"/>
      <c r="Q4" s="188"/>
      <c r="R4" s="58"/>
      <c r="S4" s="59" t="s">
        <v>102</v>
      </c>
      <c r="T4" s="60"/>
      <c r="U4" s="59" t="s">
        <v>103</v>
      </c>
      <c r="V4" s="50"/>
      <c r="W4" s="51"/>
      <c r="X4" s="51"/>
      <c r="Y4" s="52"/>
    </row>
    <row r="5" spans="2:30" x14ac:dyDescent="0.3">
      <c r="B5" s="61" t="s">
        <v>152</v>
      </c>
      <c r="D5" s="34">
        <v>1770</v>
      </c>
      <c r="H5" s="62">
        <f>D6/D5</f>
        <v>10.169491525423728</v>
      </c>
      <c r="I5" s="47"/>
      <c r="J5" s="47" t="s">
        <v>153</v>
      </c>
      <c r="K5" s="47"/>
      <c r="S5" s="48"/>
      <c r="V5" s="49"/>
      <c r="W5" s="63"/>
      <c r="X5" s="64"/>
      <c r="AD5" s="48"/>
    </row>
    <row r="6" spans="2:30" x14ac:dyDescent="0.3">
      <c r="B6" s="61" t="s">
        <v>46</v>
      </c>
      <c r="D6" s="35">
        <v>18000</v>
      </c>
      <c r="H6" s="65">
        <f>H5/60</f>
        <v>0.16949152542372881</v>
      </c>
      <c r="I6" s="47"/>
      <c r="J6" s="47" t="s">
        <v>57</v>
      </c>
      <c r="K6" s="47"/>
      <c r="Q6" s="61" t="s">
        <v>124</v>
      </c>
      <c r="R6" s="61"/>
      <c r="S6" s="36">
        <v>2.2999999999999998</v>
      </c>
      <c r="T6" s="66"/>
      <c r="U6" s="67">
        <v>2</v>
      </c>
      <c r="V6" s="49"/>
      <c r="W6" s="63"/>
      <c r="X6" s="64"/>
      <c r="AD6" s="48"/>
    </row>
    <row r="7" spans="2:30" x14ac:dyDescent="0.3">
      <c r="B7" s="61" t="s">
        <v>45</v>
      </c>
      <c r="D7" s="68">
        <f>S18</f>
        <v>26.7</v>
      </c>
      <c r="H7" s="69">
        <f>D7*H6</f>
        <v>4.5254237288135588</v>
      </c>
      <c r="I7" s="70"/>
      <c r="J7" s="70" t="s">
        <v>73</v>
      </c>
      <c r="K7" s="47"/>
      <c r="Q7" s="49" t="s">
        <v>104</v>
      </c>
      <c r="S7" s="36">
        <v>2.5</v>
      </c>
      <c r="T7" s="66"/>
      <c r="U7" s="67">
        <v>0</v>
      </c>
      <c r="V7" s="49"/>
      <c r="W7" s="63"/>
      <c r="X7" s="64"/>
      <c r="AD7" s="48"/>
    </row>
    <row r="8" spans="2:30" x14ac:dyDescent="0.3">
      <c r="B8" s="61" t="s">
        <v>67</v>
      </c>
      <c r="D8" s="71">
        <f>U18</f>
        <v>7.3999999999999995</v>
      </c>
      <c r="H8" s="69">
        <f>D8*H6</f>
        <v>1.254237288135593</v>
      </c>
      <c r="I8" s="70"/>
      <c r="J8" s="70" t="s">
        <v>74</v>
      </c>
      <c r="K8" s="47"/>
      <c r="Q8" s="49" t="s">
        <v>134</v>
      </c>
      <c r="S8" s="36">
        <v>3</v>
      </c>
      <c r="U8" s="67">
        <v>0.5</v>
      </c>
      <c r="V8" s="49"/>
      <c r="W8" s="63"/>
      <c r="X8" s="64"/>
      <c r="AD8" s="48"/>
    </row>
    <row r="9" spans="2:30" x14ac:dyDescent="0.3">
      <c r="B9" s="61"/>
      <c r="C9" s="61"/>
      <c r="D9" s="61"/>
      <c r="H9" s="72">
        <f>H7*(H17+H18)</f>
        <v>18825.762711864405</v>
      </c>
      <c r="I9" s="70"/>
      <c r="J9" s="73" t="s">
        <v>75</v>
      </c>
      <c r="K9" s="47"/>
      <c r="Q9" s="49" t="s">
        <v>105</v>
      </c>
      <c r="S9" s="36">
        <v>1.7</v>
      </c>
      <c r="T9" s="66"/>
      <c r="U9" s="67">
        <v>1.4</v>
      </c>
      <c r="V9" s="49"/>
      <c r="W9" s="63"/>
      <c r="X9" s="64"/>
      <c r="AD9" s="48"/>
    </row>
    <row r="10" spans="2:30" x14ac:dyDescent="0.3">
      <c r="B10" s="61"/>
      <c r="C10" s="48"/>
      <c r="D10" s="48"/>
      <c r="E10" s="48"/>
      <c r="H10" s="74">
        <f>H8*(H17+H18)</f>
        <v>5217.6271186440672</v>
      </c>
      <c r="I10" s="70"/>
      <c r="J10" s="73" t="s">
        <v>76</v>
      </c>
      <c r="L10" s="48"/>
      <c r="M10" s="48"/>
      <c r="Q10" s="49" t="s">
        <v>106</v>
      </c>
      <c r="S10" s="36">
        <v>3.2</v>
      </c>
      <c r="T10" s="66"/>
      <c r="U10" s="67">
        <v>2.8</v>
      </c>
      <c r="V10" s="75"/>
      <c r="W10" s="76"/>
      <c r="X10" s="64"/>
      <c r="Y10" s="77"/>
      <c r="AA10" s="78"/>
      <c r="AB10" s="66"/>
    </row>
    <row r="11" spans="2:30" x14ac:dyDescent="0.3">
      <c r="B11" s="61"/>
      <c r="C11" s="48"/>
      <c r="D11" s="48"/>
      <c r="E11" s="48"/>
      <c r="I11" s="47"/>
      <c r="J11" s="73"/>
      <c r="L11" s="48"/>
      <c r="M11" s="48"/>
      <c r="Q11" s="49" t="s">
        <v>107</v>
      </c>
      <c r="S11" s="36">
        <v>2</v>
      </c>
      <c r="T11" s="66"/>
      <c r="U11" s="67">
        <v>0.2</v>
      </c>
      <c r="V11" s="75"/>
      <c r="W11" s="76"/>
      <c r="X11" s="64"/>
      <c r="Y11" s="77"/>
      <c r="AA11" s="78"/>
      <c r="AB11" s="66"/>
    </row>
    <row r="12" spans="2:30" ht="21" customHeight="1" x14ac:dyDescent="0.3">
      <c r="B12" s="79" t="s">
        <v>64</v>
      </c>
      <c r="C12" s="57"/>
      <c r="D12" s="37">
        <v>2000</v>
      </c>
      <c r="F12" s="52"/>
      <c r="H12" s="80"/>
      <c r="I12" s="52"/>
      <c r="J12" s="52"/>
      <c r="K12" s="52"/>
      <c r="L12" s="52"/>
      <c r="M12" s="52"/>
      <c r="N12" s="52"/>
      <c r="O12" s="52"/>
      <c r="Q12" s="49" t="s">
        <v>110</v>
      </c>
      <c r="S12" s="36">
        <v>3</v>
      </c>
      <c r="T12" s="66"/>
      <c r="U12" s="67">
        <v>0.5</v>
      </c>
      <c r="V12" s="49"/>
      <c r="W12" s="63"/>
      <c r="X12" s="81"/>
      <c r="AD12" s="48"/>
    </row>
    <row r="13" spans="2:30" ht="15" customHeight="1" x14ac:dyDescent="0.3">
      <c r="B13" s="49" t="s">
        <v>49</v>
      </c>
      <c r="C13" s="49"/>
      <c r="D13" s="38">
        <v>0.6</v>
      </c>
      <c r="F13" s="52"/>
      <c r="H13" s="80">
        <f>D13*D12</f>
        <v>1200</v>
      </c>
      <c r="I13" s="52"/>
      <c r="J13" s="52" t="s">
        <v>51</v>
      </c>
      <c r="K13" s="52"/>
      <c r="L13" s="52"/>
      <c r="M13" s="52"/>
      <c r="N13" s="52"/>
      <c r="O13" s="52"/>
      <c r="Q13" s="49" t="s">
        <v>108</v>
      </c>
      <c r="S13" s="36">
        <v>5.5</v>
      </c>
      <c r="T13" s="66"/>
      <c r="U13" s="67">
        <v>0</v>
      </c>
      <c r="V13" s="49"/>
      <c r="W13" s="63"/>
      <c r="X13" s="81"/>
      <c r="AD13" s="48"/>
    </row>
    <row r="14" spans="2:30" ht="15" customHeight="1" x14ac:dyDescent="0.3">
      <c r="B14" s="49" t="s">
        <v>50</v>
      </c>
      <c r="C14" s="49"/>
      <c r="D14" s="52">
        <f>1-D13</f>
        <v>0.4</v>
      </c>
      <c r="F14" s="52"/>
      <c r="H14" s="80">
        <f>D14*D12</f>
        <v>800</v>
      </c>
      <c r="I14" s="52"/>
      <c r="J14" s="52" t="s">
        <v>52</v>
      </c>
      <c r="K14" s="52"/>
      <c r="L14" s="52"/>
      <c r="M14" s="52"/>
      <c r="N14" s="52"/>
      <c r="O14" s="52"/>
      <c r="Q14" s="49" t="s">
        <v>135</v>
      </c>
      <c r="S14" s="36">
        <v>1</v>
      </c>
      <c r="T14" s="66"/>
      <c r="U14" s="67">
        <v>0</v>
      </c>
      <c r="V14" s="49"/>
      <c r="W14" s="63"/>
      <c r="X14" s="81"/>
      <c r="AD14" s="48"/>
    </row>
    <row r="15" spans="2:30" ht="15" customHeight="1" x14ac:dyDescent="0.3">
      <c r="B15" s="49"/>
      <c r="C15" s="49"/>
      <c r="D15" s="52"/>
      <c r="F15" s="52"/>
      <c r="H15" s="80"/>
      <c r="I15" s="52"/>
      <c r="J15" s="52"/>
      <c r="K15" s="52"/>
      <c r="L15" s="52"/>
      <c r="M15" s="52"/>
      <c r="N15" s="52"/>
      <c r="O15" s="52"/>
      <c r="Q15" s="49" t="s">
        <v>136</v>
      </c>
      <c r="S15" s="36">
        <v>1.2</v>
      </c>
      <c r="T15" s="66"/>
      <c r="U15" s="67">
        <v>0</v>
      </c>
      <c r="V15" s="49"/>
      <c r="W15" s="63"/>
      <c r="X15" s="81"/>
      <c r="AD15" s="48"/>
    </row>
    <row r="16" spans="2:30" ht="15" customHeight="1" x14ac:dyDescent="0.3">
      <c r="C16" s="82"/>
      <c r="Q16" s="49" t="s">
        <v>109</v>
      </c>
      <c r="S16" s="36">
        <v>1.3</v>
      </c>
      <c r="T16" s="66"/>
      <c r="U16" s="67">
        <v>0</v>
      </c>
      <c r="V16" s="49"/>
      <c r="W16" s="63"/>
      <c r="X16" s="81"/>
      <c r="AD16" s="48"/>
    </row>
    <row r="17" spans="2:30" ht="15" customHeight="1" x14ac:dyDescent="0.3">
      <c r="B17" s="61" t="s">
        <v>62</v>
      </c>
      <c r="D17" s="39">
        <v>1.8</v>
      </c>
      <c r="H17" s="47">
        <f>H13*D17</f>
        <v>2160</v>
      </c>
      <c r="J17" s="83" t="s">
        <v>65</v>
      </c>
      <c r="S17" s="66"/>
      <c r="T17" s="84"/>
      <c r="U17" s="84"/>
      <c r="V17" s="49"/>
      <c r="W17" s="63"/>
      <c r="X17" s="81"/>
      <c r="AD17" s="48"/>
    </row>
    <row r="18" spans="2:30" ht="15" customHeight="1" x14ac:dyDescent="0.3">
      <c r="B18" s="61" t="s">
        <v>63</v>
      </c>
      <c r="D18" s="40">
        <v>2.5</v>
      </c>
      <c r="H18" s="47">
        <f>H14*D18</f>
        <v>2000</v>
      </c>
      <c r="J18" s="83" t="s">
        <v>66</v>
      </c>
      <c r="Q18" s="49" t="s">
        <v>111</v>
      </c>
      <c r="S18" s="85">
        <f>SUM(S6:S17)</f>
        <v>26.7</v>
      </c>
      <c r="T18" s="66"/>
      <c r="U18" s="86">
        <f>SUM(U6:U17)</f>
        <v>7.3999999999999995</v>
      </c>
      <c r="V18" s="49"/>
      <c r="W18" s="63"/>
      <c r="X18" s="81"/>
      <c r="AD18" s="48"/>
    </row>
    <row r="19" spans="2:30" ht="15" customHeight="1" x14ac:dyDescent="0.3">
      <c r="B19" s="61"/>
      <c r="J19" s="83"/>
      <c r="S19" s="48"/>
      <c r="V19" s="49"/>
      <c r="W19" s="63"/>
      <c r="X19" s="81"/>
      <c r="AD19" s="48"/>
    </row>
    <row r="20" spans="2:30" x14ac:dyDescent="0.3">
      <c r="I20" s="47"/>
      <c r="J20" s="70"/>
      <c r="K20" s="47"/>
      <c r="S20" s="48"/>
      <c r="V20" s="49"/>
      <c r="W20" s="63"/>
      <c r="X20" s="64"/>
      <c r="AD20" s="48"/>
    </row>
    <row r="21" spans="2:30" ht="18" x14ac:dyDescent="0.3">
      <c r="B21" s="61" t="s">
        <v>150</v>
      </c>
      <c r="D21" s="41">
        <v>550</v>
      </c>
      <c r="G21" s="87">
        <f>E21*E41*I13</f>
        <v>0</v>
      </c>
      <c r="H21" s="48"/>
      <c r="I21" s="47"/>
      <c r="J21" s="79" t="s">
        <v>151</v>
      </c>
      <c r="K21" s="47"/>
      <c r="S21" s="48"/>
      <c r="V21" s="49"/>
      <c r="W21" s="63"/>
      <c r="X21" s="64"/>
      <c r="AD21" s="48"/>
    </row>
    <row r="22" spans="2:30" ht="15" customHeight="1" x14ac:dyDescent="0.3">
      <c r="B22" s="61" t="s">
        <v>149</v>
      </c>
      <c r="D22" s="41">
        <v>1500</v>
      </c>
      <c r="I22" s="88"/>
      <c r="J22" s="88">
        <f>D21*H13+D22*H14</f>
        <v>1860000</v>
      </c>
      <c r="K22" s="47"/>
      <c r="S22" s="48"/>
      <c r="V22" s="49"/>
      <c r="W22" s="63"/>
      <c r="X22" s="64"/>
      <c r="AD22" s="48"/>
    </row>
    <row r="23" spans="2:30" ht="21.75" customHeight="1" x14ac:dyDescent="0.3">
      <c r="C23" s="57"/>
      <c r="G23" s="89">
        <f t="shared" ref="G23" si="0">G21+G22</f>
        <v>0</v>
      </c>
      <c r="I23" s="47"/>
      <c r="S23" s="48"/>
      <c r="V23" s="49"/>
      <c r="W23" s="63"/>
      <c r="X23" s="64"/>
      <c r="AD23" s="48"/>
    </row>
    <row r="24" spans="2:30" ht="18.75" customHeight="1" x14ac:dyDescent="0.3">
      <c r="B24" s="90"/>
      <c r="C24" s="52"/>
      <c r="D24" s="52"/>
      <c r="E24" s="52"/>
      <c r="F24" s="52"/>
      <c r="H24" s="91"/>
      <c r="I24" s="47"/>
      <c r="J24" s="47"/>
      <c r="K24" s="47"/>
      <c r="L24" s="52"/>
      <c r="S24" s="48"/>
      <c r="V24" s="49"/>
      <c r="W24" s="63"/>
      <c r="X24" s="64"/>
      <c r="AD24" s="48"/>
    </row>
    <row r="25" spans="2:30" x14ac:dyDescent="0.3">
      <c r="B25" s="90"/>
      <c r="C25" s="52"/>
      <c r="D25" s="52"/>
      <c r="E25" s="52"/>
      <c r="F25" s="52"/>
      <c r="H25" s="91"/>
      <c r="I25" s="47"/>
      <c r="J25" s="47"/>
      <c r="K25" s="47"/>
      <c r="L25" s="52"/>
      <c r="S25" s="48"/>
      <c r="U25" s="92"/>
      <c r="V25" s="49"/>
      <c r="W25" s="63"/>
      <c r="X25" s="64"/>
      <c r="AD25" s="48"/>
    </row>
    <row r="26" spans="2:30" x14ac:dyDescent="0.3">
      <c r="B26" s="61" t="s">
        <v>56</v>
      </c>
      <c r="D26" s="42">
        <v>5.45</v>
      </c>
      <c r="F26" s="52"/>
      <c r="H26" s="93">
        <f>D26/D27</f>
        <v>0.218</v>
      </c>
      <c r="I26" s="94"/>
      <c r="J26" s="94" t="s">
        <v>48</v>
      </c>
      <c r="K26" s="47"/>
      <c r="S26" s="48"/>
      <c r="V26" s="49"/>
      <c r="W26" s="63"/>
      <c r="X26" s="64"/>
      <c r="AD26" s="48"/>
    </row>
    <row r="27" spans="2:30" x14ac:dyDescent="0.3">
      <c r="B27" s="49" t="s">
        <v>47</v>
      </c>
      <c r="C27" s="49"/>
      <c r="D27" s="80">
        <v>25</v>
      </c>
      <c r="F27" s="52"/>
      <c r="H27" s="95">
        <f>H26*(H17+H18)</f>
        <v>906.88</v>
      </c>
      <c r="J27" s="83" t="s">
        <v>70</v>
      </c>
      <c r="K27" s="47"/>
      <c r="S27" s="48"/>
      <c r="V27" s="49"/>
      <c r="W27" s="63"/>
      <c r="X27" s="64"/>
      <c r="AD27" s="48"/>
    </row>
    <row r="28" spans="2:30" x14ac:dyDescent="0.3">
      <c r="F28" s="52"/>
      <c r="S28" s="48"/>
      <c r="U28" s="78"/>
      <c r="V28" s="75"/>
      <c r="W28" s="76"/>
      <c r="X28" s="64"/>
      <c r="Y28" s="77"/>
      <c r="AA28" s="78"/>
      <c r="AB28" s="66"/>
    </row>
    <row r="29" spans="2:30" x14ac:dyDescent="0.3">
      <c r="B29" s="61" t="s">
        <v>126</v>
      </c>
      <c r="D29" s="96">
        <v>0.28000000000000003</v>
      </c>
      <c r="F29" s="52"/>
      <c r="H29" s="97">
        <f>D29*(H17+H18)</f>
        <v>1164.8000000000002</v>
      </c>
      <c r="J29" s="83" t="s">
        <v>72</v>
      </c>
      <c r="S29" s="48"/>
      <c r="U29" s="78"/>
      <c r="V29" s="75"/>
      <c r="W29" s="76"/>
      <c r="X29" s="64"/>
      <c r="Y29" s="77"/>
      <c r="AA29" s="78"/>
      <c r="AB29" s="66"/>
    </row>
    <row r="30" spans="2:30" x14ac:dyDescent="0.3">
      <c r="B30" s="61" t="s">
        <v>125</v>
      </c>
      <c r="D30" s="96">
        <v>0.1</v>
      </c>
      <c r="F30" s="52"/>
      <c r="H30" s="97">
        <f>D30*(H17+H18)</f>
        <v>416</v>
      </c>
      <c r="J30" s="83" t="s">
        <v>71</v>
      </c>
      <c r="S30" s="48"/>
      <c r="U30" s="78"/>
      <c r="V30" s="75"/>
      <c r="W30" s="76"/>
      <c r="X30" s="64"/>
      <c r="Y30" s="77"/>
      <c r="AA30" s="78"/>
      <c r="AB30" s="66"/>
    </row>
    <row r="31" spans="2:30" x14ac:dyDescent="0.3">
      <c r="B31" s="61"/>
      <c r="C31" s="61"/>
      <c r="D31" s="61"/>
      <c r="E31" s="61"/>
      <c r="F31" s="52"/>
      <c r="H31" s="98"/>
      <c r="J31" s="83"/>
      <c r="S31" s="48"/>
      <c r="U31" s="78"/>
      <c r="V31" s="75"/>
      <c r="W31" s="76"/>
      <c r="X31" s="64"/>
      <c r="Y31" s="77"/>
      <c r="AA31" s="78"/>
      <c r="AB31" s="66"/>
    </row>
    <row r="32" spans="2:30" x14ac:dyDescent="0.3">
      <c r="B32" s="61"/>
      <c r="C32" s="61"/>
      <c r="D32" s="61"/>
      <c r="E32" s="61"/>
      <c r="F32" s="52"/>
      <c r="H32" s="98"/>
      <c r="J32" s="83"/>
      <c r="S32" s="48"/>
      <c r="U32" s="78"/>
      <c r="V32" s="75"/>
      <c r="W32" s="76"/>
      <c r="X32" s="64"/>
      <c r="Y32" s="77"/>
      <c r="AA32" s="78"/>
      <c r="AB32" s="66"/>
    </row>
    <row r="33" spans="2:30" x14ac:dyDescent="0.3">
      <c r="B33" s="61"/>
      <c r="C33" s="61"/>
      <c r="D33" s="61"/>
      <c r="E33" s="61"/>
      <c r="F33" s="52"/>
      <c r="H33" s="98"/>
      <c r="J33" s="83"/>
      <c r="S33" s="48"/>
      <c r="U33" s="78"/>
      <c r="V33" s="75"/>
      <c r="W33" s="76"/>
      <c r="X33" s="64"/>
      <c r="Y33" s="77"/>
      <c r="AA33" s="78"/>
      <c r="AB33" s="66"/>
    </row>
    <row r="34" spans="2:30" x14ac:dyDescent="0.3">
      <c r="B34" s="61"/>
      <c r="C34" s="61"/>
      <c r="D34" s="61"/>
      <c r="E34" s="61"/>
      <c r="F34" s="52"/>
      <c r="H34" s="98"/>
      <c r="J34" s="83"/>
      <c r="S34" s="48"/>
      <c r="U34" s="78"/>
      <c r="V34" s="75"/>
      <c r="W34" s="76"/>
      <c r="X34" s="64"/>
      <c r="Y34" s="77"/>
      <c r="AA34" s="78"/>
      <c r="AB34" s="66"/>
    </row>
    <row r="35" spans="2:30" x14ac:dyDescent="0.3">
      <c r="B35" s="61"/>
      <c r="C35" s="61"/>
      <c r="D35" s="61"/>
      <c r="E35" s="61"/>
      <c r="F35" s="52"/>
      <c r="H35" s="98"/>
      <c r="J35" s="83"/>
      <c r="S35" s="48"/>
      <c r="U35" s="78"/>
      <c r="V35" s="75"/>
      <c r="W35" s="76"/>
      <c r="X35" s="64"/>
      <c r="Y35" s="77"/>
      <c r="AA35" s="78"/>
      <c r="AB35" s="66"/>
    </row>
    <row r="36" spans="2:30" ht="5.25" customHeight="1" x14ac:dyDescent="0.3">
      <c r="B36" s="61"/>
      <c r="C36" s="61"/>
      <c r="D36" s="61"/>
      <c r="E36" s="61"/>
      <c r="F36" s="52"/>
      <c r="H36" s="98"/>
      <c r="J36" s="83"/>
      <c r="S36" s="48"/>
      <c r="U36" s="78"/>
      <c r="V36" s="75"/>
      <c r="W36" s="76"/>
      <c r="X36" s="64"/>
      <c r="Y36" s="77"/>
      <c r="AA36" s="78"/>
      <c r="AB36" s="66"/>
    </row>
    <row r="37" spans="2:30" x14ac:dyDescent="0.3">
      <c r="B37" s="61" t="s">
        <v>141</v>
      </c>
      <c r="D37" s="43">
        <v>0.04</v>
      </c>
      <c r="F37" s="48" t="s">
        <v>55</v>
      </c>
      <c r="H37" s="99" t="s">
        <v>53</v>
      </c>
      <c r="I37" s="70"/>
      <c r="J37" s="70"/>
      <c r="K37" s="47"/>
      <c r="S37" s="48"/>
      <c r="V37" s="49"/>
      <c r="W37" s="63"/>
      <c r="X37" s="64"/>
      <c r="AD37" s="48"/>
    </row>
    <row r="38" spans="2:30" ht="18" x14ac:dyDescent="0.3">
      <c r="B38" s="61" t="s">
        <v>132</v>
      </c>
      <c r="F38" s="87">
        <f>D21*D41*H13</f>
        <v>7920.0000000000009</v>
      </c>
      <c r="G38" s="87">
        <f>E38*E58*I31</f>
        <v>0</v>
      </c>
      <c r="H38" s="87">
        <f>D21*D44*H13</f>
        <v>9900</v>
      </c>
      <c r="I38" s="47"/>
      <c r="K38" s="47"/>
      <c r="L38" s="79"/>
      <c r="S38" s="48"/>
      <c r="V38" s="49"/>
      <c r="W38" s="63"/>
      <c r="X38" s="64"/>
      <c r="AD38" s="48"/>
    </row>
    <row r="39" spans="2:30" ht="15" customHeight="1" x14ac:dyDescent="0.3">
      <c r="B39" s="61" t="s">
        <v>133</v>
      </c>
      <c r="F39" s="100">
        <f>D22*D41*H14</f>
        <v>14400</v>
      </c>
      <c r="H39" s="100">
        <f>D22*D44*H14</f>
        <v>18000</v>
      </c>
      <c r="I39" s="47"/>
      <c r="J39" s="88"/>
      <c r="K39" s="88"/>
      <c r="L39" s="88"/>
      <c r="S39" s="48"/>
      <c r="V39" s="49"/>
      <c r="W39" s="63"/>
      <c r="X39" s="64"/>
      <c r="AD39" s="48"/>
    </row>
    <row r="40" spans="2:30" ht="21.75" customHeight="1" x14ac:dyDescent="0.3">
      <c r="C40" s="57"/>
      <c r="F40" s="89">
        <f>F38+F39</f>
        <v>22320</v>
      </c>
      <c r="G40" s="89">
        <f t="shared" ref="G40" si="1">G38+G39</f>
        <v>0</v>
      </c>
      <c r="H40" s="89">
        <f>H38+H39</f>
        <v>27900</v>
      </c>
      <c r="I40" s="47"/>
      <c r="S40" s="48"/>
      <c r="V40" s="49"/>
      <c r="W40" s="63"/>
      <c r="X40" s="64"/>
      <c r="AD40" s="48"/>
    </row>
    <row r="41" spans="2:30" x14ac:dyDescent="0.3">
      <c r="B41" s="61" t="s">
        <v>122</v>
      </c>
      <c r="C41" s="61"/>
      <c r="D41" s="43">
        <v>1.2E-2</v>
      </c>
      <c r="F41" s="101">
        <f>F38+F39</f>
        <v>22320</v>
      </c>
      <c r="I41" s="47"/>
      <c r="J41" s="47" t="s">
        <v>143</v>
      </c>
      <c r="K41" s="47"/>
      <c r="S41" s="48"/>
      <c r="V41" s="49"/>
      <c r="W41" s="63"/>
      <c r="X41" s="64"/>
      <c r="AD41" s="48"/>
    </row>
    <row r="42" spans="2:30" x14ac:dyDescent="0.3">
      <c r="B42" s="61" t="s">
        <v>123</v>
      </c>
      <c r="C42" s="61"/>
      <c r="D42" s="61"/>
      <c r="E42" s="61"/>
      <c r="F42" s="61"/>
      <c r="H42" s="102">
        <f>F41*(1-D45)</f>
        <v>4463.9999999999991</v>
      </c>
      <c r="I42" s="47"/>
      <c r="J42" s="47" t="s">
        <v>144</v>
      </c>
      <c r="K42" s="47"/>
      <c r="S42" s="48"/>
      <c r="V42" s="49"/>
      <c r="W42" s="63"/>
      <c r="X42" s="64"/>
      <c r="AD42" s="48"/>
    </row>
    <row r="43" spans="2:30" x14ac:dyDescent="0.3">
      <c r="B43" s="61"/>
      <c r="C43" s="61"/>
      <c r="D43" s="61"/>
      <c r="E43" s="61"/>
      <c r="F43" s="61"/>
      <c r="G43" s="61"/>
      <c r="H43" s="61"/>
      <c r="I43" s="61"/>
      <c r="J43" s="47"/>
      <c r="K43" s="47"/>
      <c r="S43" s="48"/>
      <c r="V43" s="49"/>
      <c r="W43" s="63"/>
      <c r="X43" s="64"/>
      <c r="AD43" s="48"/>
    </row>
    <row r="44" spans="2:30" x14ac:dyDescent="0.3">
      <c r="B44" s="61" t="s">
        <v>54</v>
      </c>
      <c r="D44" s="43">
        <v>1.4999999999999999E-2</v>
      </c>
      <c r="H44" s="103">
        <f>H40*D37</f>
        <v>1116</v>
      </c>
      <c r="I44" s="47"/>
      <c r="J44" s="47" t="s">
        <v>145</v>
      </c>
      <c r="K44" s="47"/>
      <c r="S44" s="48"/>
      <c r="V44" s="49"/>
      <c r="W44" s="63"/>
      <c r="X44" s="64"/>
      <c r="AD44" s="48"/>
    </row>
    <row r="45" spans="2:30" x14ac:dyDescent="0.3">
      <c r="B45" s="61" t="s">
        <v>146</v>
      </c>
      <c r="C45" s="52"/>
      <c r="D45" s="44">
        <v>0.8</v>
      </c>
      <c r="E45" s="52"/>
      <c r="F45" s="52"/>
      <c r="G45" s="52"/>
      <c r="H45" s="102">
        <f>H44*(1-D45)</f>
        <v>223.19999999999996</v>
      </c>
      <c r="I45" s="47"/>
      <c r="J45" s="47" t="s">
        <v>142</v>
      </c>
      <c r="K45" s="47"/>
      <c r="L45" s="52"/>
      <c r="S45" s="48"/>
      <c r="V45" s="49"/>
      <c r="W45" s="63"/>
      <c r="X45" s="64"/>
      <c r="AD45" s="48"/>
    </row>
    <row r="46" spans="2:30" x14ac:dyDescent="0.3">
      <c r="B46" s="90"/>
      <c r="C46" s="52"/>
      <c r="D46" s="52"/>
      <c r="E46" s="52"/>
      <c r="F46" s="52"/>
      <c r="G46" s="52"/>
      <c r="H46" s="91"/>
      <c r="I46" s="47"/>
      <c r="J46" s="47"/>
      <c r="K46" s="47"/>
      <c r="L46" s="52"/>
      <c r="S46" s="48"/>
      <c r="V46" s="49"/>
      <c r="W46" s="63"/>
      <c r="X46" s="64"/>
      <c r="AD46" s="48"/>
    </row>
    <row r="47" spans="2:30" x14ac:dyDescent="0.3">
      <c r="B47" s="90"/>
      <c r="C47" s="52"/>
      <c r="D47" s="52"/>
      <c r="E47" s="52"/>
      <c r="F47" s="52"/>
      <c r="G47" s="52"/>
      <c r="H47" s="91"/>
      <c r="I47" s="47"/>
      <c r="J47" s="47"/>
      <c r="K47" s="47"/>
      <c r="L47" s="52"/>
      <c r="S47" s="48"/>
      <c r="V47" s="49"/>
      <c r="W47" s="63"/>
      <c r="X47" s="64"/>
      <c r="AD47" s="48"/>
    </row>
    <row r="48" spans="2:30" x14ac:dyDescent="0.3">
      <c r="B48" s="90"/>
      <c r="C48" s="52"/>
      <c r="D48" s="52"/>
      <c r="E48" s="52"/>
      <c r="F48" s="52"/>
      <c r="G48" s="52"/>
      <c r="H48" s="91"/>
      <c r="I48" s="47"/>
      <c r="J48" s="47"/>
      <c r="K48" s="47"/>
      <c r="L48" s="52"/>
      <c r="S48" s="48"/>
      <c r="V48" s="49"/>
      <c r="W48" s="63"/>
      <c r="X48" s="64"/>
      <c r="AD48" s="48"/>
    </row>
    <row r="49" spans="2:30" x14ac:dyDescent="0.3">
      <c r="B49" s="90"/>
      <c r="C49" s="52"/>
      <c r="D49" s="52"/>
      <c r="E49" s="52"/>
      <c r="F49" s="52"/>
      <c r="G49" s="52"/>
      <c r="H49" s="91"/>
      <c r="I49" s="47"/>
      <c r="J49" s="47"/>
      <c r="K49" s="47"/>
      <c r="L49" s="52"/>
      <c r="S49" s="48"/>
      <c r="V49" s="49"/>
      <c r="W49" s="63"/>
      <c r="X49" s="64"/>
      <c r="AD49" s="48"/>
    </row>
    <row r="50" spans="2:30" x14ac:dyDescent="0.3">
      <c r="B50" s="61" t="s">
        <v>68</v>
      </c>
      <c r="C50" s="61"/>
      <c r="D50" s="45">
        <v>3</v>
      </c>
      <c r="F50" s="104"/>
      <c r="H50" s="105">
        <f>H13*D21*D37*D50/30</f>
        <v>2640</v>
      </c>
      <c r="I50" s="47"/>
      <c r="J50" s="47" t="s">
        <v>147</v>
      </c>
      <c r="K50" s="47"/>
      <c r="S50" s="48"/>
      <c r="V50" s="49"/>
      <c r="W50" s="63"/>
      <c r="X50" s="64"/>
      <c r="AD50" s="48"/>
    </row>
    <row r="51" spans="2:30" x14ac:dyDescent="0.3">
      <c r="B51" s="61" t="s">
        <v>69</v>
      </c>
      <c r="D51" s="46">
        <v>8</v>
      </c>
      <c r="H51" s="105">
        <f>H14*D22*D37*D51/30</f>
        <v>12800</v>
      </c>
      <c r="I51" s="47"/>
      <c r="J51" s="47" t="s">
        <v>148</v>
      </c>
      <c r="K51" s="47"/>
      <c r="S51" s="48"/>
      <c r="V51" s="49"/>
      <c r="W51" s="63"/>
      <c r="X51" s="64"/>
      <c r="AD51" s="48"/>
    </row>
    <row r="52" spans="2:30" x14ac:dyDescent="0.3">
      <c r="B52" s="61"/>
      <c r="C52" s="61"/>
      <c r="D52" s="61"/>
      <c r="E52" s="61"/>
      <c r="F52" s="61"/>
      <c r="G52" s="61"/>
      <c r="H52" s="61"/>
      <c r="I52" s="61"/>
      <c r="J52" s="61"/>
      <c r="K52" s="47"/>
      <c r="S52" s="48"/>
      <c r="V52" s="49"/>
      <c r="W52" s="63"/>
      <c r="X52" s="64"/>
      <c r="AD52" s="48"/>
    </row>
    <row r="53" spans="2:30" x14ac:dyDescent="0.3">
      <c r="B53" s="61"/>
      <c r="C53" s="61"/>
      <c r="D53" s="61"/>
      <c r="E53" s="61"/>
      <c r="F53" s="61"/>
      <c r="G53" s="61"/>
      <c r="H53" s="61"/>
      <c r="I53" s="61"/>
      <c r="J53" s="61"/>
      <c r="K53" s="47"/>
      <c r="S53" s="48"/>
      <c r="V53" s="49"/>
      <c r="W53" s="63"/>
      <c r="X53" s="64"/>
      <c r="AD53" s="48"/>
    </row>
    <row r="54" spans="2:30" x14ac:dyDescent="0.3">
      <c r="B54" s="90"/>
      <c r="C54" s="52"/>
      <c r="D54" s="52"/>
      <c r="E54" s="52"/>
      <c r="F54" s="52"/>
      <c r="G54" s="52"/>
      <c r="H54" s="91"/>
      <c r="I54" s="47"/>
      <c r="J54" s="47"/>
      <c r="K54" s="47"/>
      <c r="L54" s="52"/>
      <c r="S54" s="48"/>
      <c r="V54" s="49"/>
      <c r="W54" s="63"/>
      <c r="X54" s="64"/>
      <c r="AD54" s="48"/>
    </row>
    <row r="55" spans="2:30" x14ac:dyDescent="0.3">
      <c r="B55" s="90"/>
      <c r="C55" s="52"/>
      <c r="D55" s="52"/>
      <c r="E55" s="52"/>
      <c r="F55" s="52"/>
      <c r="G55" s="52"/>
      <c r="H55" s="91"/>
      <c r="I55" s="47"/>
      <c r="J55" s="47"/>
      <c r="K55" s="47"/>
      <c r="L55" s="52"/>
      <c r="S55" s="48"/>
      <c r="V55" s="49"/>
      <c r="W55" s="63"/>
      <c r="X55" s="64"/>
      <c r="AD55" s="48"/>
    </row>
    <row r="56" spans="2:30" ht="14.25" customHeight="1" x14ac:dyDescent="0.3">
      <c r="B56" s="61" t="s">
        <v>130</v>
      </c>
      <c r="D56" s="43">
        <v>0.01</v>
      </c>
      <c r="E56" s="61"/>
      <c r="I56" s="47"/>
      <c r="J56" s="47"/>
      <c r="K56" s="47"/>
      <c r="S56" s="48"/>
      <c r="V56" s="49"/>
      <c r="W56" s="63"/>
      <c r="X56" s="64"/>
      <c r="AD56" s="48"/>
    </row>
    <row r="57" spans="2:30" ht="14.25" customHeight="1" x14ac:dyDescent="0.3">
      <c r="B57" s="106" t="s">
        <v>121</v>
      </c>
      <c r="C57" s="61"/>
      <c r="D57" s="107">
        <f>D56*J22</f>
        <v>18600</v>
      </c>
      <c r="E57" s="61"/>
      <c r="H57" s="103">
        <f>D57/12</f>
        <v>1550</v>
      </c>
      <c r="I57" s="61"/>
      <c r="J57" s="108" t="s">
        <v>61</v>
      </c>
      <c r="K57" s="47"/>
      <c r="S57" s="48"/>
      <c r="V57" s="49"/>
      <c r="W57" s="63"/>
      <c r="X57" s="64"/>
      <c r="AD57" s="48"/>
    </row>
    <row r="58" spans="2:30" ht="14.25" customHeight="1" x14ac:dyDescent="0.3">
      <c r="B58" s="106" t="s">
        <v>129</v>
      </c>
      <c r="C58" s="61"/>
      <c r="D58" s="108"/>
      <c r="E58" s="108"/>
      <c r="F58" s="108"/>
      <c r="G58" s="108"/>
      <c r="H58" s="108"/>
      <c r="I58" s="108"/>
      <c r="J58" s="108"/>
      <c r="K58" s="47"/>
      <c r="S58" s="48"/>
      <c r="V58" s="49"/>
      <c r="W58" s="63"/>
      <c r="X58" s="64"/>
      <c r="AD58" s="48"/>
    </row>
    <row r="59" spans="2:30" x14ac:dyDescent="0.3">
      <c r="B59" s="61" t="s">
        <v>59</v>
      </c>
      <c r="D59" s="44">
        <v>0.5</v>
      </c>
      <c r="H59" s="109">
        <f>H57*(1-D59)</f>
        <v>775</v>
      </c>
      <c r="J59" s="83" t="s">
        <v>60</v>
      </c>
      <c r="S59" s="48"/>
      <c r="U59" s="78"/>
      <c r="V59" s="75"/>
      <c r="W59" s="76"/>
      <c r="X59" s="64"/>
      <c r="Y59" s="77"/>
      <c r="AA59" s="78"/>
      <c r="AB59" s="66"/>
    </row>
    <row r="60" spans="2:30" x14ac:dyDescent="0.3">
      <c r="B60" s="61"/>
      <c r="C60" s="61"/>
      <c r="D60" s="61"/>
      <c r="E60" s="61"/>
      <c r="F60" s="61"/>
      <c r="G60" s="61"/>
      <c r="H60" s="61"/>
      <c r="I60" s="61"/>
      <c r="J60" s="61"/>
      <c r="K60" s="47"/>
      <c r="S60" s="48"/>
      <c r="V60" s="49"/>
      <c r="W60" s="63"/>
      <c r="X60" s="64"/>
      <c r="AD60" s="48"/>
    </row>
    <row r="61" spans="2:30" x14ac:dyDescent="0.3">
      <c r="B61" s="61"/>
      <c r="C61" s="61"/>
      <c r="D61" s="61"/>
      <c r="E61" s="61"/>
      <c r="F61" s="61"/>
      <c r="G61" s="61"/>
      <c r="H61" s="61"/>
      <c r="I61" s="61"/>
      <c r="J61" s="61"/>
      <c r="K61" s="47"/>
      <c r="S61" s="48"/>
      <c r="V61" s="49"/>
      <c r="W61" s="63"/>
      <c r="X61" s="64"/>
      <c r="AD61" s="48"/>
    </row>
    <row r="62" spans="2:30" x14ac:dyDescent="0.3">
      <c r="B62" s="61"/>
      <c r="C62" s="61"/>
      <c r="D62" s="61"/>
      <c r="E62" s="61"/>
      <c r="F62" s="61"/>
      <c r="G62" s="61"/>
      <c r="H62" s="61"/>
      <c r="I62" s="61"/>
      <c r="J62" s="61"/>
      <c r="K62" s="47"/>
      <c r="S62" s="48"/>
      <c r="V62" s="49"/>
      <c r="W62" s="63"/>
      <c r="X62" s="64"/>
      <c r="AD62" s="48"/>
    </row>
    <row r="63" spans="2:30" x14ac:dyDescent="0.3">
      <c r="B63" s="61"/>
      <c r="C63" s="61"/>
      <c r="D63" s="61"/>
      <c r="E63" s="61"/>
      <c r="F63" s="61"/>
      <c r="G63" s="61"/>
      <c r="H63" s="61"/>
      <c r="I63" s="61"/>
      <c r="J63" s="61"/>
      <c r="K63" s="47"/>
      <c r="S63" s="48"/>
      <c r="V63" s="49"/>
      <c r="W63" s="63"/>
      <c r="X63" s="64"/>
      <c r="AD63" s="48"/>
    </row>
    <row r="64" spans="2:30" ht="15" customHeight="1" x14ac:dyDescent="0.3">
      <c r="B64" s="61" t="s">
        <v>128</v>
      </c>
      <c r="D64" s="43">
        <v>7.0000000000000001E-3</v>
      </c>
      <c r="E64" s="61"/>
      <c r="I64" s="47"/>
      <c r="J64" s="47"/>
      <c r="K64" s="47"/>
      <c r="S64" s="48"/>
      <c r="V64" s="49"/>
      <c r="W64" s="63"/>
      <c r="X64" s="64"/>
      <c r="AD64" s="48"/>
    </row>
    <row r="65" spans="2:30" ht="14.25" customHeight="1" x14ac:dyDescent="0.3">
      <c r="B65" s="106" t="s">
        <v>120</v>
      </c>
      <c r="C65" s="61"/>
      <c r="D65" s="110">
        <f>D64*J22</f>
        <v>13020</v>
      </c>
      <c r="E65" s="61"/>
      <c r="H65" s="103">
        <f>D65/12</f>
        <v>1085</v>
      </c>
      <c r="I65" s="61"/>
      <c r="J65" s="108" t="s">
        <v>127</v>
      </c>
      <c r="K65" s="47"/>
      <c r="S65" s="48"/>
      <c r="V65" s="49"/>
      <c r="W65" s="63"/>
      <c r="X65" s="64"/>
      <c r="AD65" s="48"/>
    </row>
    <row r="66" spans="2:30" x14ac:dyDescent="0.3">
      <c r="B66" s="61" t="s">
        <v>131</v>
      </c>
      <c r="D66" s="44">
        <v>0.6</v>
      </c>
      <c r="H66" s="109">
        <f>H65*(1-D66)</f>
        <v>434</v>
      </c>
      <c r="J66" s="83" t="s">
        <v>60</v>
      </c>
      <c r="S66" s="48"/>
      <c r="U66" s="78"/>
      <c r="V66" s="75"/>
      <c r="W66" s="76"/>
      <c r="X66" s="64"/>
      <c r="Y66" s="77"/>
      <c r="AA66" s="78"/>
      <c r="AB66" s="66"/>
    </row>
    <row r="67" spans="2:30" x14ac:dyDescent="0.3">
      <c r="I67" s="47"/>
      <c r="J67" s="47"/>
      <c r="K67" s="47"/>
      <c r="S67" s="48"/>
      <c r="V67" s="49"/>
      <c r="W67" s="63"/>
      <c r="X67" s="64"/>
      <c r="AD67" s="48"/>
    </row>
  </sheetData>
  <sheetProtection algorithmName="SHA-512" hashValue="e9k3GyzqhfAL7EXGSE5ne7hNlPsWEVfpjX+ERmo/GduFpdpuHDccxDbTPT0USImNA88u7/SGhnBpzPi1ynhLNw==" saltValue="Apj0ZcXUxn7rOvREg1eB5g==" spinCount="100000" sheet="1" objects="1" scenarios="1"/>
  <mergeCells count="2">
    <mergeCell ref="B3:H3"/>
    <mergeCell ref="O3:Q4"/>
  </mergeCells>
  <printOptions horizontalCentered="1" verticalCentered="1"/>
  <pageMargins left="0.35433070866141736" right="0.6692913385826772" top="0.39370078740157483" bottom="0.6692913385826772" header="0.27559055118110237" footer="0.27559055118110237"/>
  <pageSetup paperSize="9" scale="49" orientation="landscape" r:id="rId1"/>
  <headerFooter>
    <oddFooter>&amp;LRamón Fernández
&amp;D   &amp;T&amp;C&amp;F
&amp;A&amp;RInformación confidencial TRANSFOLLOW
No reproducir sin autorización de la compañía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93"/>
  <sheetViews>
    <sheetView showGridLines="0" zoomScale="70" zoomScaleNormal="70" workbookViewId="0">
      <pane xSplit="10" ySplit="2" topLeftCell="K44" activePane="bottomRight" state="frozen"/>
      <selection pane="topRight" activeCell="H1" sqref="H1"/>
      <selection pane="bottomLeft" activeCell="A9" sqref="A9"/>
      <selection pane="bottomRight" activeCell="J54" sqref="J54"/>
    </sheetView>
  </sheetViews>
  <sheetFormatPr baseColWidth="10" defaultColWidth="11.44140625" defaultRowHeight="14.4" x14ac:dyDescent="0.3"/>
  <cols>
    <col min="1" max="1" width="2.21875" style="47" customWidth="1"/>
    <col min="2" max="2" width="16" style="47" hidden="1" customWidth="1"/>
    <col min="3" max="3" width="38.77734375" style="47" hidden="1" customWidth="1"/>
    <col min="4" max="4" width="2.21875" style="47" customWidth="1"/>
    <col min="5" max="5" width="16" style="47" customWidth="1"/>
    <col min="6" max="6" width="84.21875" style="47" customWidth="1"/>
    <col min="7" max="7" width="1.77734375" style="47" customWidth="1"/>
    <col min="8" max="8" width="7.44140625" style="47" customWidth="1"/>
    <col min="9" max="9" width="3.21875" style="47" customWidth="1"/>
    <col min="10" max="10" width="12.5546875" style="47" customWidth="1"/>
    <col min="11" max="11" width="5.44140625" style="47" customWidth="1"/>
    <col min="12" max="12" width="13.44140625" style="47" customWidth="1"/>
    <col min="13" max="13" width="12.77734375" style="47" customWidth="1"/>
    <col min="14" max="15" width="12.44140625" style="47" customWidth="1"/>
    <col min="16" max="16" width="12.77734375" style="47" customWidth="1"/>
    <col min="17" max="17" width="13.21875" style="47" customWidth="1"/>
    <col min="18" max="18" width="12.5546875" style="47" customWidth="1"/>
    <col min="19" max="20" width="13.21875" style="47" bestFit="1" customWidth="1"/>
    <col min="21" max="21" width="12.5546875" style="47" customWidth="1"/>
    <col min="22" max="22" width="13.44140625" style="47" customWidth="1"/>
    <col min="23" max="23" width="12.77734375" style="47" customWidth="1"/>
    <col min="24" max="24" width="5.5546875" style="47" customWidth="1"/>
    <col min="25" max="25" width="13.44140625" style="47" customWidth="1"/>
    <col min="26" max="16384" width="11.44140625" style="47"/>
  </cols>
  <sheetData>
    <row r="1" spans="1:31" x14ac:dyDescent="0.3">
      <c r="L1" s="111"/>
      <c r="M1" s="111"/>
      <c r="N1" s="111"/>
      <c r="O1" s="111"/>
      <c r="P1" s="111"/>
      <c r="Q1" s="111"/>
    </row>
    <row r="2" spans="1:31" hidden="1" x14ac:dyDescent="0.3">
      <c r="L2" s="112" t="s">
        <v>0</v>
      </c>
      <c r="M2" s="112" t="s">
        <v>1</v>
      </c>
      <c r="N2" s="112" t="s">
        <v>2</v>
      </c>
      <c r="O2" s="112" t="s">
        <v>3</v>
      </c>
      <c r="P2" s="112" t="s">
        <v>4</v>
      </c>
      <c r="Q2" s="112" t="s">
        <v>5</v>
      </c>
      <c r="R2" s="112" t="s">
        <v>6</v>
      </c>
      <c r="S2" s="112" t="s">
        <v>7</v>
      </c>
      <c r="T2" s="112" t="s">
        <v>8</v>
      </c>
      <c r="U2" s="112" t="s">
        <v>9</v>
      </c>
      <c r="V2" s="112" t="s">
        <v>10</v>
      </c>
      <c r="W2" s="112" t="s">
        <v>11</v>
      </c>
      <c r="X2" s="112" t="s">
        <v>12</v>
      </c>
      <c r="Y2" s="112" t="s">
        <v>13</v>
      </c>
      <c r="Z2" s="112" t="s">
        <v>14</v>
      </c>
      <c r="AA2" s="112" t="s">
        <v>15</v>
      </c>
      <c r="AB2" s="112" t="s">
        <v>16</v>
      </c>
      <c r="AC2" s="112" t="s">
        <v>17</v>
      </c>
      <c r="AD2" s="112" t="s">
        <v>18</v>
      </c>
      <c r="AE2" s="112" t="s">
        <v>19</v>
      </c>
    </row>
    <row r="3" spans="1:31" hidden="1" x14ac:dyDescent="0.3">
      <c r="B3" s="113" t="s">
        <v>20</v>
      </c>
      <c r="C3" s="48" t="s">
        <v>21</v>
      </c>
      <c r="E3" s="113" t="s">
        <v>20</v>
      </c>
      <c r="F3" s="48" t="s">
        <v>21</v>
      </c>
      <c r="J3" s="48" t="s">
        <v>22</v>
      </c>
    </row>
    <row r="4" spans="1:31" hidden="1" x14ac:dyDescent="0.3">
      <c r="A4" s="114"/>
      <c r="B4" s="114"/>
      <c r="C4" s="115"/>
      <c r="D4" s="114"/>
      <c r="E4" s="114"/>
      <c r="F4" s="115"/>
      <c r="G4" s="115"/>
      <c r="H4" s="115"/>
      <c r="J4" s="115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</row>
    <row r="5" spans="1:31" hidden="1" x14ac:dyDescent="0.3">
      <c r="A5" s="117"/>
      <c r="B5" s="118" t="s">
        <v>23</v>
      </c>
      <c r="C5" s="119"/>
      <c r="D5" s="117"/>
      <c r="E5" s="118" t="s">
        <v>23</v>
      </c>
      <c r="F5" s="119"/>
      <c r="G5" s="120"/>
      <c r="H5" s="120"/>
      <c r="J5" s="121" t="e">
        <f>SUM(L5:U5)</f>
        <v>#REF!</v>
      </c>
      <c r="L5" s="122" t="e">
        <f>IF(#REF!=0,"",#REF!/'Buss Case e-CMR'!#REF!)</f>
        <v>#REF!</v>
      </c>
      <c r="M5" s="122" t="e">
        <f>IF(#REF!=0,"",#REF!/'Buss Case e-CMR'!#REF!)</f>
        <v>#REF!</v>
      </c>
      <c r="N5" s="122" t="e">
        <f>IF(#REF!=0,"",#REF!/'Buss Case e-CMR'!#REF!)</f>
        <v>#REF!</v>
      </c>
      <c r="O5" s="122" t="e">
        <f>IF(#REF!=0,"",#REF!/'Buss Case e-CMR'!#REF!)</f>
        <v>#REF!</v>
      </c>
      <c r="P5" s="122" t="e">
        <f>IF(#REF!=0,"",#REF!/'Buss Case e-CMR'!#REF!)</f>
        <v>#REF!</v>
      </c>
      <c r="Q5" s="122" t="e">
        <f>IF(#REF!=0,"",#REF!/'Buss Case e-CMR'!#REF!)</f>
        <v>#REF!</v>
      </c>
      <c r="R5" s="122" t="e">
        <f>IF(#REF!=0,"",#REF!/'Buss Case e-CMR'!#REF!)</f>
        <v>#REF!</v>
      </c>
      <c r="S5" s="122" t="e">
        <f>IF(#REF!=0,"",#REF!/'Buss Case e-CMR'!#REF!)</f>
        <v>#REF!</v>
      </c>
      <c r="T5" s="122" t="e">
        <f>IF(#REF!=0,"",#REF!/'Buss Case e-CMR'!#REF!)</f>
        <v>#REF!</v>
      </c>
      <c r="U5" s="122" t="e">
        <f>IF(#REF!=0,"",#REF!/'Buss Case e-CMR'!#REF!)</f>
        <v>#REF!</v>
      </c>
      <c r="V5" s="123"/>
      <c r="W5" s="123"/>
      <c r="X5" s="123"/>
      <c r="Y5" s="123"/>
      <c r="Z5" s="123"/>
      <c r="AA5" s="123"/>
      <c r="AB5" s="123"/>
      <c r="AC5" s="123"/>
      <c r="AD5" s="123"/>
      <c r="AE5" s="123"/>
    </row>
    <row r="6" spans="1:31" hidden="1" x14ac:dyDescent="0.3">
      <c r="A6" s="117"/>
      <c r="B6" s="118" t="s">
        <v>24</v>
      </c>
      <c r="C6" s="119"/>
      <c r="D6" s="117"/>
      <c r="E6" s="118" t="s">
        <v>24</v>
      </c>
      <c r="F6" s="119"/>
      <c r="G6" s="120"/>
      <c r="H6" s="120"/>
      <c r="J6" s="121" t="e">
        <f t="shared" ref="J6:J13" si="0">SUM(L6:U6)</f>
        <v>#REF!</v>
      </c>
      <c r="L6" s="122" t="e">
        <f>IF(#REF!=0,"",#REF!/'Buss Case e-CMR'!#REF!)</f>
        <v>#REF!</v>
      </c>
      <c r="M6" s="122" t="e">
        <f>IF(#REF!=0,"",#REF!/'Buss Case e-CMR'!#REF!)</f>
        <v>#REF!</v>
      </c>
      <c r="N6" s="122" t="e">
        <f>IF(#REF!=0,"",#REF!/'Buss Case e-CMR'!#REF!)</f>
        <v>#REF!</v>
      </c>
      <c r="O6" s="122" t="e">
        <f>IF(#REF!=0,"",#REF!/'Buss Case e-CMR'!#REF!)</f>
        <v>#REF!</v>
      </c>
      <c r="P6" s="122" t="e">
        <f>IF(#REF!=0,"",#REF!/'Buss Case e-CMR'!#REF!)</f>
        <v>#REF!</v>
      </c>
      <c r="Q6" s="122" t="e">
        <f>IF(#REF!=0,"",#REF!/'Buss Case e-CMR'!#REF!)</f>
        <v>#REF!</v>
      </c>
      <c r="R6" s="122" t="e">
        <f>IF(#REF!=0,"",#REF!/'Buss Case e-CMR'!#REF!)</f>
        <v>#REF!</v>
      </c>
      <c r="S6" s="122" t="e">
        <f>IF(#REF!=0,"",#REF!/'Buss Case e-CMR'!#REF!)</f>
        <v>#REF!</v>
      </c>
      <c r="T6" s="122" t="e">
        <f>IF(#REF!=0,"",#REF!/'Buss Case e-CMR'!#REF!)</f>
        <v>#REF!</v>
      </c>
      <c r="U6" s="122" t="e">
        <f>IF(#REF!=0,"",#REF!/'Buss Case e-CMR'!#REF!)</f>
        <v>#REF!</v>
      </c>
      <c r="V6" s="123"/>
      <c r="W6" s="123"/>
      <c r="X6" s="123"/>
      <c r="Y6" s="123"/>
      <c r="Z6" s="123"/>
      <c r="AA6" s="123"/>
      <c r="AB6" s="123"/>
      <c r="AC6" s="123"/>
      <c r="AD6" s="123"/>
      <c r="AE6" s="123"/>
    </row>
    <row r="7" spans="1:31" hidden="1" x14ac:dyDescent="0.3">
      <c r="A7" s="117"/>
      <c r="B7" s="118" t="s">
        <v>25</v>
      </c>
      <c r="C7" s="119"/>
      <c r="D7" s="117"/>
      <c r="E7" s="118" t="s">
        <v>25</v>
      </c>
      <c r="F7" s="119"/>
      <c r="G7" s="120"/>
      <c r="H7" s="120"/>
      <c r="J7" s="121" t="e">
        <f t="shared" si="0"/>
        <v>#REF!</v>
      </c>
      <c r="L7" s="122" t="e">
        <f>IF(#REF!=0,"",#REF!/'Buss Case e-CMR'!#REF!)</f>
        <v>#REF!</v>
      </c>
      <c r="M7" s="122" t="e">
        <f>IF(#REF!=0,"",#REF!/'Buss Case e-CMR'!#REF!)</f>
        <v>#REF!</v>
      </c>
      <c r="N7" s="122" t="e">
        <f>IF(#REF!=0,"",#REF!/'Buss Case e-CMR'!#REF!)</f>
        <v>#REF!</v>
      </c>
      <c r="O7" s="122" t="e">
        <f>IF(#REF!=0,"",#REF!/'Buss Case e-CMR'!#REF!)</f>
        <v>#REF!</v>
      </c>
      <c r="P7" s="122" t="e">
        <f>IF(#REF!=0,"",#REF!/'Buss Case e-CMR'!#REF!)</f>
        <v>#REF!</v>
      </c>
      <c r="Q7" s="122" t="e">
        <f>IF(#REF!=0,"",#REF!/'Buss Case e-CMR'!#REF!)</f>
        <v>#REF!</v>
      </c>
      <c r="R7" s="122" t="e">
        <f>IF(#REF!=0,"",#REF!/'Buss Case e-CMR'!#REF!)</f>
        <v>#REF!</v>
      </c>
      <c r="S7" s="122" t="e">
        <f>IF(#REF!=0,"",#REF!/'Buss Case e-CMR'!#REF!)</f>
        <v>#REF!</v>
      </c>
      <c r="T7" s="122" t="e">
        <f>IF(#REF!=0,"",#REF!/'Buss Case e-CMR'!#REF!)</f>
        <v>#REF!</v>
      </c>
      <c r="U7" s="122" t="e">
        <f>IF(#REF!=0,"",#REF!/'Buss Case e-CMR'!#REF!)</f>
        <v>#REF!</v>
      </c>
      <c r="V7" s="123"/>
      <c r="W7" s="123"/>
      <c r="X7" s="123"/>
      <c r="Y7" s="123"/>
      <c r="Z7" s="123"/>
      <c r="AA7" s="123"/>
      <c r="AB7" s="123"/>
      <c r="AC7" s="123"/>
      <c r="AD7" s="123"/>
      <c r="AE7" s="123"/>
    </row>
    <row r="8" spans="1:31" hidden="1" x14ac:dyDescent="0.3">
      <c r="A8" s="117"/>
      <c r="B8" s="118" t="s">
        <v>26</v>
      </c>
      <c r="C8" s="119"/>
      <c r="D8" s="117"/>
      <c r="E8" s="118" t="s">
        <v>26</v>
      </c>
      <c r="F8" s="119"/>
      <c r="G8" s="120"/>
      <c r="H8" s="120"/>
      <c r="J8" s="121" t="e">
        <f t="shared" si="0"/>
        <v>#REF!</v>
      </c>
      <c r="L8" s="122" t="e">
        <f>IF(#REF!=0,"",#REF!/'Buss Case e-CMR'!#REF!)</f>
        <v>#REF!</v>
      </c>
      <c r="M8" s="122" t="e">
        <f>IF(#REF!=0,"",#REF!/'Buss Case e-CMR'!#REF!)</f>
        <v>#REF!</v>
      </c>
      <c r="N8" s="122" t="e">
        <f>IF(#REF!=0,"",#REF!/'Buss Case e-CMR'!#REF!)</f>
        <v>#REF!</v>
      </c>
      <c r="O8" s="122" t="e">
        <f>IF(#REF!=0,"",#REF!/'Buss Case e-CMR'!#REF!)</f>
        <v>#REF!</v>
      </c>
      <c r="P8" s="122" t="e">
        <f>IF(#REF!=0,"",#REF!/'Buss Case e-CMR'!#REF!)</f>
        <v>#REF!</v>
      </c>
      <c r="Q8" s="122" t="e">
        <f>IF(#REF!=0,"",#REF!/'Buss Case e-CMR'!#REF!)</f>
        <v>#REF!</v>
      </c>
      <c r="R8" s="122" t="e">
        <f>IF(#REF!=0,"",#REF!/'Buss Case e-CMR'!#REF!)</f>
        <v>#REF!</v>
      </c>
      <c r="S8" s="122" t="e">
        <f>IF(#REF!=0,"",#REF!/'Buss Case e-CMR'!#REF!)</f>
        <v>#REF!</v>
      </c>
      <c r="T8" s="122" t="e">
        <f>IF(#REF!=0,"",#REF!/'Buss Case e-CMR'!#REF!)</f>
        <v>#REF!</v>
      </c>
      <c r="U8" s="122" t="e">
        <f>IF(#REF!=0,"",#REF!/'Buss Case e-CMR'!#REF!)</f>
        <v>#REF!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</row>
    <row r="9" spans="1:31" hidden="1" x14ac:dyDescent="0.3">
      <c r="A9" s="117"/>
      <c r="B9" s="118" t="s">
        <v>27</v>
      </c>
      <c r="C9" s="119"/>
      <c r="D9" s="117"/>
      <c r="E9" s="118" t="s">
        <v>27</v>
      </c>
      <c r="F9" s="119"/>
      <c r="G9" s="120"/>
      <c r="H9" s="120"/>
      <c r="J9" s="121" t="e">
        <f t="shared" si="0"/>
        <v>#REF!</v>
      </c>
      <c r="L9" s="122" t="e">
        <f>IF(#REF!=0,"",#REF!/'Buss Case e-CMR'!#REF!)</f>
        <v>#REF!</v>
      </c>
      <c r="M9" s="122" t="e">
        <f>IF(#REF!=0,"",#REF!/'Buss Case e-CMR'!#REF!)</f>
        <v>#REF!</v>
      </c>
      <c r="N9" s="122" t="e">
        <f>IF(#REF!=0,"",#REF!/'Buss Case e-CMR'!#REF!)</f>
        <v>#REF!</v>
      </c>
      <c r="O9" s="122" t="e">
        <f>IF(#REF!=0,"",#REF!/'Buss Case e-CMR'!#REF!)</f>
        <v>#REF!</v>
      </c>
      <c r="P9" s="122" t="e">
        <f>IF(#REF!=0,"",#REF!/'Buss Case e-CMR'!#REF!)</f>
        <v>#REF!</v>
      </c>
      <c r="Q9" s="122" t="e">
        <f>IF(#REF!=0,"",#REF!/'Buss Case e-CMR'!#REF!)</f>
        <v>#REF!</v>
      </c>
      <c r="R9" s="122" t="e">
        <f>IF(#REF!=0,"",#REF!/'Buss Case e-CMR'!#REF!)</f>
        <v>#REF!</v>
      </c>
      <c r="S9" s="122" t="e">
        <f>IF(#REF!=0,"",#REF!/'Buss Case e-CMR'!#REF!)</f>
        <v>#REF!</v>
      </c>
      <c r="T9" s="122" t="e">
        <f>IF(#REF!=0,"",#REF!/'Buss Case e-CMR'!#REF!)</f>
        <v>#REF!</v>
      </c>
      <c r="U9" s="122" t="e">
        <f>IF(#REF!=0,"",#REF!/'Buss Case e-CMR'!#REF!)</f>
        <v>#REF!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</row>
    <row r="10" spans="1:31" hidden="1" x14ac:dyDescent="0.3">
      <c r="A10" s="117"/>
      <c r="B10" s="124"/>
      <c r="C10" s="119"/>
      <c r="D10" s="117"/>
      <c r="E10" s="124"/>
      <c r="F10" s="119"/>
      <c r="G10" s="120"/>
      <c r="H10" s="120"/>
      <c r="J10" s="121" t="e">
        <f t="shared" si="0"/>
        <v>#REF!</v>
      </c>
      <c r="L10" s="122" t="e">
        <f>IF(#REF!=0,"",#REF!/'Buss Case e-CMR'!#REF!)</f>
        <v>#REF!</v>
      </c>
      <c r="M10" s="122" t="e">
        <f>IF(#REF!=0,"",#REF!/'Buss Case e-CMR'!#REF!)</f>
        <v>#REF!</v>
      </c>
      <c r="N10" s="122" t="e">
        <f>IF(#REF!=0,"",#REF!/'Buss Case e-CMR'!#REF!)</f>
        <v>#REF!</v>
      </c>
      <c r="O10" s="122" t="e">
        <f>IF(#REF!=0,"",#REF!/'Buss Case e-CMR'!#REF!)</f>
        <v>#REF!</v>
      </c>
      <c r="P10" s="122" t="e">
        <f>IF(#REF!=0,"",#REF!/'Buss Case e-CMR'!#REF!)</f>
        <v>#REF!</v>
      </c>
      <c r="Q10" s="122" t="e">
        <f>IF(#REF!=0,"",#REF!/'Buss Case e-CMR'!#REF!)</f>
        <v>#REF!</v>
      </c>
      <c r="R10" s="122" t="e">
        <f>IF(#REF!=0,"",#REF!/'Buss Case e-CMR'!#REF!)</f>
        <v>#REF!</v>
      </c>
      <c r="S10" s="122" t="e">
        <f>IF(#REF!=0,"",#REF!/'Buss Case e-CMR'!#REF!)</f>
        <v>#REF!</v>
      </c>
      <c r="T10" s="122" t="e">
        <f>IF(#REF!=0,"",#REF!/'Buss Case e-CMR'!#REF!)</f>
        <v>#REF!</v>
      </c>
      <c r="U10" s="122" t="e">
        <f>IF(#REF!=0,"",#REF!/'Buss Case e-CMR'!#REF!)</f>
        <v>#REF!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</row>
    <row r="11" spans="1:31" hidden="1" x14ac:dyDescent="0.3">
      <c r="A11" s="117"/>
      <c r="B11" s="124"/>
      <c r="C11" s="119"/>
      <c r="D11" s="117"/>
      <c r="E11" s="124"/>
      <c r="F11" s="119"/>
      <c r="G11" s="120"/>
      <c r="H11" s="120"/>
      <c r="J11" s="121" t="e">
        <f t="shared" si="0"/>
        <v>#REF!</v>
      </c>
      <c r="L11" s="122" t="e">
        <f>IF(#REF!=0,"",#REF!/'Buss Case e-CMR'!#REF!)</f>
        <v>#REF!</v>
      </c>
      <c r="M11" s="122" t="e">
        <f>IF(#REF!=0,"",#REF!/'Buss Case e-CMR'!#REF!)</f>
        <v>#REF!</v>
      </c>
      <c r="N11" s="122" t="e">
        <f>IF(#REF!=0,"",#REF!/'Buss Case e-CMR'!#REF!)</f>
        <v>#REF!</v>
      </c>
      <c r="O11" s="122" t="e">
        <f>IF(#REF!=0,"",#REF!/'Buss Case e-CMR'!#REF!)</f>
        <v>#REF!</v>
      </c>
      <c r="P11" s="122" t="e">
        <f>IF(#REF!=0,"",#REF!/'Buss Case e-CMR'!#REF!)</f>
        <v>#REF!</v>
      </c>
      <c r="Q11" s="122" t="e">
        <f>IF(#REF!=0,"",#REF!/'Buss Case e-CMR'!#REF!)</f>
        <v>#REF!</v>
      </c>
      <c r="R11" s="122" t="e">
        <f>IF(#REF!=0,"",#REF!/'Buss Case e-CMR'!#REF!)</f>
        <v>#REF!</v>
      </c>
      <c r="S11" s="122" t="e">
        <f>IF(#REF!=0,"",#REF!/'Buss Case e-CMR'!#REF!)</f>
        <v>#REF!</v>
      </c>
      <c r="T11" s="122" t="e">
        <f>IF(#REF!=0,"",#REF!/'Buss Case e-CMR'!#REF!)</f>
        <v>#REF!</v>
      </c>
      <c r="U11" s="122" t="e">
        <f>IF(#REF!=0,"",#REF!/'Buss Case e-CMR'!#REF!)</f>
        <v>#REF!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</row>
    <row r="12" spans="1:31" hidden="1" x14ac:dyDescent="0.3">
      <c r="A12" s="117"/>
      <c r="B12" s="124"/>
      <c r="C12" s="119"/>
      <c r="D12" s="117"/>
      <c r="E12" s="124"/>
      <c r="F12" s="119"/>
      <c r="G12" s="120"/>
      <c r="H12" s="120"/>
      <c r="J12" s="121" t="e">
        <f t="shared" si="0"/>
        <v>#REF!</v>
      </c>
      <c r="L12" s="122" t="e">
        <f>IF(#REF!=0,"",#REF!/'Buss Case e-CMR'!#REF!)</f>
        <v>#REF!</v>
      </c>
      <c r="M12" s="122" t="e">
        <f>IF(#REF!=0,"",#REF!/'Buss Case e-CMR'!#REF!)</f>
        <v>#REF!</v>
      </c>
      <c r="N12" s="122" t="e">
        <f>IF(#REF!=0,"",#REF!/'Buss Case e-CMR'!#REF!)</f>
        <v>#REF!</v>
      </c>
      <c r="O12" s="122" t="e">
        <f>IF(#REF!=0,"",#REF!/'Buss Case e-CMR'!#REF!)</f>
        <v>#REF!</v>
      </c>
      <c r="P12" s="122" t="e">
        <f>IF(#REF!=0,"",#REF!/'Buss Case e-CMR'!#REF!)</f>
        <v>#REF!</v>
      </c>
      <c r="Q12" s="122" t="e">
        <f>IF(#REF!=0,"",#REF!/'Buss Case e-CMR'!#REF!)</f>
        <v>#REF!</v>
      </c>
      <c r="R12" s="122" t="e">
        <f>IF(#REF!=0,"",#REF!/'Buss Case e-CMR'!#REF!)</f>
        <v>#REF!</v>
      </c>
      <c r="S12" s="122" t="e">
        <f>IF(#REF!=0,"",#REF!/'Buss Case e-CMR'!#REF!)</f>
        <v>#REF!</v>
      </c>
      <c r="T12" s="122" t="e">
        <f>IF(#REF!=0,"",#REF!/'Buss Case e-CMR'!#REF!)</f>
        <v>#REF!</v>
      </c>
      <c r="U12" s="122" t="e">
        <f>IF(#REF!=0,"",#REF!/'Buss Case e-CMR'!#REF!)</f>
        <v>#REF!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</row>
    <row r="13" spans="1:31" hidden="1" x14ac:dyDescent="0.3">
      <c r="A13" s="117"/>
      <c r="B13" s="118"/>
      <c r="C13" s="119"/>
      <c r="D13" s="117"/>
      <c r="E13" s="118"/>
      <c r="F13" s="119"/>
      <c r="G13" s="120"/>
      <c r="H13" s="120"/>
      <c r="J13" s="121" t="e">
        <f t="shared" si="0"/>
        <v>#REF!</v>
      </c>
      <c r="L13" s="122" t="e">
        <f>IF(#REF!=0,"",#REF!/'Buss Case e-CMR'!#REF!)</f>
        <v>#REF!</v>
      </c>
      <c r="M13" s="122" t="e">
        <f>IF(#REF!=0,"",#REF!/'Buss Case e-CMR'!#REF!)</f>
        <v>#REF!</v>
      </c>
      <c r="N13" s="122" t="e">
        <f>IF(#REF!=0,"",#REF!/'Buss Case e-CMR'!#REF!)</f>
        <v>#REF!</v>
      </c>
      <c r="O13" s="122" t="e">
        <f>IF(#REF!=0,"",#REF!/'Buss Case e-CMR'!#REF!)</f>
        <v>#REF!</v>
      </c>
      <c r="P13" s="122" t="e">
        <f>IF(#REF!=0,"",#REF!/'Buss Case e-CMR'!#REF!)</f>
        <v>#REF!</v>
      </c>
      <c r="Q13" s="122" t="e">
        <f>IF(#REF!=0,"",#REF!/'Buss Case e-CMR'!#REF!)</f>
        <v>#REF!</v>
      </c>
      <c r="R13" s="122" t="e">
        <f>IF(#REF!=0,"",#REF!/'Buss Case e-CMR'!#REF!)</f>
        <v>#REF!</v>
      </c>
      <c r="S13" s="122" t="e">
        <f>IF(#REF!=0,"",#REF!/'Buss Case e-CMR'!#REF!)</f>
        <v>#REF!</v>
      </c>
      <c r="T13" s="122" t="e">
        <f>IF(#REF!=0,"",#REF!/'Buss Case e-CMR'!#REF!)</f>
        <v>#REF!</v>
      </c>
      <c r="U13" s="122" t="e">
        <f>IF(#REF!=0,"",#REF!/'Buss Case e-CMR'!#REF!)</f>
        <v>#REF!</v>
      </c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</row>
    <row r="14" spans="1:31" hidden="1" x14ac:dyDescent="0.3">
      <c r="A14" s="126"/>
      <c r="B14" s="127"/>
      <c r="C14" s="128"/>
      <c r="D14" s="126"/>
      <c r="E14" s="127"/>
      <c r="F14" s="128"/>
      <c r="G14" s="129"/>
      <c r="H14" s="129"/>
      <c r="J14" s="121">
        <f>SUM(L14:U14)</f>
        <v>0</v>
      </c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</row>
    <row r="15" spans="1:31" hidden="1" x14ac:dyDescent="0.3">
      <c r="A15" s="114"/>
      <c r="B15" s="132"/>
      <c r="C15" s="133" t="s">
        <v>28</v>
      </c>
      <c r="D15" s="114"/>
      <c r="E15" s="132"/>
      <c r="F15" s="133" t="s">
        <v>28</v>
      </c>
      <c r="G15" s="115"/>
      <c r="H15" s="115"/>
      <c r="J15" s="134" t="e">
        <f>SUM(J5:J14)</f>
        <v>#REF!</v>
      </c>
      <c r="L15" s="135" t="e">
        <f>SUM(L5:L13)</f>
        <v>#REF!</v>
      </c>
      <c r="M15" s="135" t="e">
        <f>SUM(M5:M14)</f>
        <v>#REF!</v>
      </c>
      <c r="N15" s="135" t="e">
        <f t="shared" ref="N15:U15" si="1">SUM(N5:N13)</f>
        <v>#REF!</v>
      </c>
      <c r="O15" s="135" t="e">
        <f t="shared" si="1"/>
        <v>#REF!</v>
      </c>
      <c r="P15" s="135" t="e">
        <f>SUM(P5:P14)</f>
        <v>#REF!</v>
      </c>
      <c r="Q15" s="135" t="e">
        <f t="shared" si="1"/>
        <v>#REF!</v>
      </c>
      <c r="R15" s="135" t="e">
        <f>SUM(R5:R14)</f>
        <v>#REF!</v>
      </c>
      <c r="S15" s="135" t="e">
        <f t="shared" si="1"/>
        <v>#REF!</v>
      </c>
      <c r="T15" s="135" t="e">
        <f t="shared" si="1"/>
        <v>#REF!</v>
      </c>
      <c r="U15" s="135" t="e">
        <f t="shared" si="1"/>
        <v>#REF!</v>
      </c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</row>
    <row r="16" spans="1:31" ht="30" hidden="1" customHeight="1" x14ac:dyDescent="0.3">
      <c r="A16" s="136"/>
      <c r="B16" s="137"/>
      <c r="C16" s="137"/>
      <c r="D16" s="136"/>
      <c r="E16" s="137"/>
      <c r="F16" s="137"/>
      <c r="G16" s="111"/>
      <c r="H16" s="111"/>
      <c r="J16" s="111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</row>
    <row r="17" spans="3:23" x14ac:dyDescent="0.3">
      <c r="H17" s="189"/>
    </row>
    <row r="18" spans="3:23" ht="18" x14ac:dyDescent="0.3">
      <c r="F18" s="139" t="s">
        <v>151</v>
      </c>
      <c r="H18" s="190"/>
      <c r="J18" s="140" t="s">
        <v>77</v>
      </c>
    </row>
    <row r="19" spans="3:23" ht="21" x14ac:dyDescent="0.3">
      <c r="F19" s="141">
        <f>PARAMETROS!J22</f>
        <v>1860000</v>
      </c>
      <c r="H19" s="190"/>
      <c r="J19" s="142" t="s">
        <v>78</v>
      </c>
    </row>
    <row r="20" spans="3:23" ht="18" x14ac:dyDescent="0.3">
      <c r="F20" s="143"/>
      <c r="H20" s="144"/>
      <c r="J20" s="142"/>
    </row>
    <row r="21" spans="3:23" ht="18" x14ac:dyDescent="0.3">
      <c r="E21" s="191" t="s">
        <v>79</v>
      </c>
      <c r="F21" s="192"/>
      <c r="H21" s="144"/>
      <c r="J21" s="142"/>
      <c r="L21" s="145" t="s">
        <v>116</v>
      </c>
      <c r="M21" s="145" t="s">
        <v>117</v>
      </c>
      <c r="N21" s="145" t="s">
        <v>118</v>
      </c>
      <c r="O21" s="145" t="s">
        <v>119</v>
      </c>
      <c r="P21" s="145" t="s">
        <v>29</v>
      </c>
      <c r="Q21" s="145" t="s">
        <v>30</v>
      </c>
      <c r="R21" s="145" t="s">
        <v>31</v>
      </c>
      <c r="S21" s="145" t="s">
        <v>32</v>
      </c>
      <c r="T21" s="145" t="s">
        <v>33</v>
      </c>
      <c r="U21" s="145" t="s">
        <v>34</v>
      </c>
      <c r="V21" s="145" t="s">
        <v>35</v>
      </c>
      <c r="W21" s="145" t="s">
        <v>36</v>
      </c>
    </row>
    <row r="22" spans="3:23" ht="12.75" customHeight="1" x14ac:dyDescent="0.3">
      <c r="E22" s="146"/>
      <c r="F22" s="48"/>
      <c r="H22" s="144"/>
      <c r="J22" s="142"/>
    </row>
    <row r="23" spans="3:23" x14ac:dyDescent="0.3">
      <c r="C23" s="147" t="s">
        <v>39</v>
      </c>
      <c r="F23" s="148" t="s">
        <v>81</v>
      </c>
      <c r="H23" s="144"/>
      <c r="J23" s="149">
        <f>PARAMETROS!H9</f>
        <v>18825.762711864405</v>
      </c>
      <c r="L23" s="121">
        <f>J23</f>
        <v>18825.762711864405</v>
      </c>
      <c r="M23" s="121">
        <f>L23</f>
        <v>18825.762711864405</v>
      </c>
      <c r="N23" s="121">
        <f t="shared" ref="N23:W23" si="2">M23</f>
        <v>18825.762711864405</v>
      </c>
      <c r="O23" s="121">
        <f t="shared" si="2"/>
        <v>18825.762711864405</v>
      </c>
      <c r="P23" s="121">
        <f t="shared" si="2"/>
        <v>18825.762711864405</v>
      </c>
      <c r="Q23" s="121">
        <f t="shared" si="2"/>
        <v>18825.762711864405</v>
      </c>
      <c r="R23" s="121">
        <f t="shared" si="2"/>
        <v>18825.762711864405</v>
      </c>
      <c r="S23" s="121">
        <f t="shared" si="2"/>
        <v>18825.762711864405</v>
      </c>
      <c r="T23" s="121">
        <f t="shared" si="2"/>
        <v>18825.762711864405</v>
      </c>
      <c r="U23" s="121">
        <f t="shared" si="2"/>
        <v>18825.762711864405</v>
      </c>
      <c r="V23" s="121">
        <f t="shared" si="2"/>
        <v>18825.762711864405</v>
      </c>
      <c r="W23" s="121">
        <f t="shared" si="2"/>
        <v>18825.762711864405</v>
      </c>
    </row>
    <row r="24" spans="3:23" x14ac:dyDescent="0.3">
      <c r="C24" s="147" t="s">
        <v>40</v>
      </c>
      <c r="E24" s="150"/>
      <c r="F24" s="151" t="s">
        <v>82</v>
      </c>
      <c r="H24" s="144"/>
      <c r="J24" s="149">
        <f>PARAMETROS!H27</f>
        <v>906.88</v>
      </c>
      <c r="L24" s="121">
        <f t="shared" ref="L24:L29" si="3">J24</f>
        <v>906.88</v>
      </c>
      <c r="M24" s="121">
        <f t="shared" ref="M24:W29" si="4">L24</f>
        <v>906.88</v>
      </c>
      <c r="N24" s="121">
        <f t="shared" si="4"/>
        <v>906.88</v>
      </c>
      <c r="O24" s="121">
        <f t="shared" si="4"/>
        <v>906.88</v>
      </c>
      <c r="P24" s="121">
        <f t="shared" si="4"/>
        <v>906.88</v>
      </c>
      <c r="Q24" s="121">
        <f t="shared" si="4"/>
        <v>906.88</v>
      </c>
      <c r="R24" s="121">
        <f t="shared" si="4"/>
        <v>906.88</v>
      </c>
      <c r="S24" s="121">
        <f t="shared" si="4"/>
        <v>906.88</v>
      </c>
      <c r="T24" s="121">
        <f t="shared" si="4"/>
        <v>906.88</v>
      </c>
      <c r="U24" s="121">
        <f t="shared" si="4"/>
        <v>906.88</v>
      </c>
      <c r="V24" s="121">
        <f t="shared" si="4"/>
        <v>906.88</v>
      </c>
      <c r="W24" s="121">
        <f t="shared" si="4"/>
        <v>906.88</v>
      </c>
    </row>
    <row r="25" spans="3:23" x14ac:dyDescent="0.3">
      <c r="C25" s="147" t="s">
        <v>42</v>
      </c>
      <c r="E25" s="150"/>
      <c r="F25" s="151" t="s">
        <v>83</v>
      </c>
      <c r="H25" s="144"/>
      <c r="J25" s="149">
        <f>PARAMETROS!F41</f>
        <v>22320</v>
      </c>
      <c r="L25" s="121">
        <f t="shared" si="3"/>
        <v>22320</v>
      </c>
      <c r="M25" s="121">
        <f t="shared" si="4"/>
        <v>22320</v>
      </c>
      <c r="N25" s="121">
        <f t="shared" si="4"/>
        <v>22320</v>
      </c>
      <c r="O25" s="121">
        <f t="shared" si="4"/>
        <v>22320</v>
      </c>
      <c r="P25" s="121">
        <f t="shared" si="4"/>
        <v>22320</v>
      </c>
      <c r="Q25" s="121">
        <f t="shared" si="4"/>
        <v>22320</v>
      </c>
      <c r="R25" s="121">
        <f t="shared" si="4"/>
        <v>22320</v>
      </c>
      <c r="S25" s="121">
        <f t="shared" si="4"/>
        <v>22320</v>
      </c>
      <c r="T25" s="121">
        <f t="shared" si="4"/>
        <v>22320</v>
      </c>
      <c r="U25" s="121">
        <f t="shared" si="4"/>
        <v>22320</v>
      </c>
      <c r="V25" s="121">
        <f t="shared" si="4"/>
        <v>22320</v>
      </c>
      <c r="W25" s="121">
        <f t="shared" si="4"/>
        <v>22320</v>
      </c>
    </row>
    <row r="26" spans="3:23" x14ac:dyDescent="0.3">
      <c r="C26" s="147" t="s">
        <v>43</v>
      </c>
      <c r="E26" s="150"/>
      <c r="F26" s="151" t="s">
        <v>84</v>
      </c>
      <c r="H26" s="144"/>
      <c r="J26" s="149">
        <f>PARAMETROS!H44</f>
        <v>1116</v>
      </c>
      <c r="L26" s="121">
        <f t="shared" si="3"/>
        <v>1116</v>
      </c>
      <c r="M26" s="121">
        <f t="shared" si="4"/>
        <v>1116</v>
      </c>
      <c r="N26" s="121">
        <f t="shared" si="4"/>
        <v>1116</v>
      </c>
      <c r="O26" s="121">
        <f t="shared" si="4"/>
        <v>1116</v>
      </c>
      <c r="P26" s="121">
        <f t="shared" si="4"/>
        <v>1116</v>
      </c>
      <c r="Q26" s="121">
        <f t="shared" si="4"/>
        <v>1116</v>
      </c>
      <c r="R26" s="121">
        <f t="shared" si="4"/>
        <v>1116</v>
      </c>
      <c r="S26" s="121">
        <f t="shared" si="4"/>
        <v>1116</v>
      </c>
      <c r="T26" s="121">
        <f t="shared" si="4"/>
        <v>1116</v>
      </c>
      <c r="U26" s="121">
        <f t="shared" si="4"/>
        <v>1116</v>
      </c>
      <c r="V26" s="121">
        <f t="shared" si="4"/>
        <v>1116</v>
      </c>
      <c r="W26" s="121">
        <f t="shared" si="4"/>
        <v>1116</v>
      </c>
    </row>
    <row r="27" spans="3:23" x14ac:dyDescent="0.3">
      <c r="C27" s="147"/>
      <c r="E27" s="150"/>
      <c r="F27" s="151" t="s">
        <v>85</v>
      </c>
      <c r="H27" s="144"/>
      <c r="J27" s="149">
        <f>PARAMETROS!H50+PARAMETROS!H51</f>
        <v>15440</v>
      </c>
      <c r="L27" s="121">
        <f t="shared" si="3"/>
        <v>15440</v>
      </c>
      <c r="M27" s="121">
        <f t="shared" si="4"/>
        <v>15440</v>
      </c>
      <c r="N27" s="121">
        <f t="shared" si="4"/>
        <v>15440</v>
      </c>
      <c r="O27" s="121">
        <f t="shared" si="4"/>
        <v>15440</v>
      </c>
      <c r="P27" s="121">
        <f t="shared" si="4"/>
        <v>15440</v>
      </c>
      <c r="Q27" s="121">
        <f t="shared" si="4"/>
        <v>15440</v>
      </c>
      <c r="R27" s="121">
        <f t="shared" si="4"/>
        <v>15440</v>
      </c>
      <c r="S27" s="121">
        <f t="shared" si="4"/>
        <v>15440</v>
      </c>
      <c r="T27" s="121">
        <f t="shared" si="4"/>
        <v>15440</v>
      </c>
      <c r="U27" s="121">
        <f t="shared" si="4"/>
        <v>15440</v>
      </c>
      <c r="V27" s="121">
        <f t="shared" si="4"/>
        <v>15440</v>
      </c>
      <c r="W27" s="121">
        <f t="shared" si="4"/>
        <v>15440</v>
      </c>
    </row>
    <row r="28" spans="3:23" x14ac:dyDescent="0.3">
      <c r="C28" s="147"/>
      <c r="E28" s="150"/>
      <c r="F28" s="151" t="s">
        <v>86</v>
      </c>
      <c r="H28" s="144"/>
      <c r="J28" s="149">
        <f>PARAMETROS!H57</f>
        <v>1550</v>
      </c>
      <c r="L28" s="121">
        <f t="shared" si="3"/>
        <v>1550</v>
      </c>
      <c r="M28" s="121">
        <f t="shared" si="4"/>
        <v>1550</v>
      </c>
      <c r="N28" s="121">
        <f t="shared" si="4"/>
        <v>1550</v>
      </c>
      <c r="O28" s="121">
        <f t="shared" si="4"/>
        <v>1550</v>
      </c>
      <c r="P28" s="121">
        <f t="shared" si="4"/>
        <v>1550</v>
      </c>
      <c r="Q28" s="121">
        <f t="shared" si="4"/>
        <v>1550</v>
      </c>
      <c r="R28" s="121">
        <f t="shared" si="4"/>
        <v>1550</v>
      </c>
      <c r="S28" s="121">
        <f t="shared" si="4"/>
        <v>1550</v>
      </c>
      <c r="T28" s="121">
        <f t="shared" si="4"/>
        <v>1550</v>
      </c>
      <c r="U28" s="121">
        <f t="shared" si="4"/>
        <v>1550</v>
      </c>
      <c r="V28" s="121">
        <f t="shared" si="4"/>
        <v>1550</v>
      </c>
      <c r="W28" s="121">
        <f t="shared" si="4"/>
        <v>1550</v>
      </c>
    </row>
    <row r="29" spans="3:23" x14ac:dyDescent="0.3">
      <c r="C29" s="147" t="s">
        <v>41</v>
      </c>
      <c r="F29" s="151" t="s">
        <v>87</v>
      </c>
      <c r="H29" s="144"/>
      <c r="J29" s="152">
        <f>PARAMETROS!H65</f>
        <v>1085</v>
      </c>
      <c r="L29" s="153">
        <f t="shared" si="3"/>
        <v>1085</v>
      </c>
      <c r="M29" s="153">
        <f t="shared" si="4"/>
        <v>1085</v>
      </c>
      <c r="N29" s="153">
        <f t="shared" si="4"/>
        <v>1085</v>
      </c>
      <c r="O29" s="153">
        <f t="shared" si="4"/>
        <v>1085</v>
      </c>
      <c r="P29" s="153">
        <f t="shared" si="4"/>
        <v>1085</v>
      </c>
      <c r="Q29" s="153">
        <f t="shared" si="4"/>
        <v>1085</v>
      </c>
      <c r="R29" s="153">
        <f t="shared" si="4"/>
        <v>1085</v>
      </c>
      <c r="S29" s="153">
        <f t="shared" si="4"/>
        <v>1085</v>
      </c>
      <c r="T29" s="153">
        <f t="shared" si="4"/>
        <v>1085</v>
      </c>
      <c r="U29" s="153">
        <f t="shared" si="4"/>
        <v>1085</v>
      </c>
      <c r="V29" s="153">
        <f t="shared" si="4"/>
        <v>1085</v>
      </c>
      <c r="W29" s="153">
        <f t="shared" si="4"/>
        <v>1085</v>
      </c>
    </row>
    <row r="30" spans="3:23" s="60" customFormat="1" ht="21.75" customHeight="1" x14ac:dyDescent="0.3">
      <c r="C30" s="154" t="s">
        <v>44</v>
      </c>
      <c r="F30" s="154" t="s">
        <v>80</v>
      </c>
      <c r="H30" s="155">
        <f>J30/F19</f>
        <v>3.2926689630034624E-2</v>
      </c>
      <c r="I30" s="156"/>
      <c r="J30" s="157">
        <f>SUM(J23:J29)</f>
        <v>61243.642711864406</v>
      </c>
      <c r="L30" s="158">
        <f t="shared" ref="L30:N30" si="5">SUM(L23:L29)</f>
        <v>61243.642711864406</v>
      </c>
      <c r="M30" s="158">
        <f t="shared" si="5"/>
        <v>61243.642711864406</v>
      </c>
      <c r="N30" s="158">
        <f t="shared" si="5"/>
        <v>61243.642711864406</v>
      </c>
      <c r="O30" s="158">
        <f t="shared" ref="O30" si="6">SUM(O23:O29)</f>
        <v>61243.642711864406</v>
      </c>
      <c r="P30" s="158">
        <f t="shared" ref="P30" si="7">SUM(P23:P29)</f>
        <v>61243.642711864406</v>
      </c>
      <c r="Q30" s="158">
        <f t="shared" ref="Q30" si="8">SUM(Q23:Q29)</f>
        <v>61243.642711864406</v>
      </c>
      <c r="R30" s="158">
        <f t="shared" ref="R30" si="9">SUM(R23:R29)</f>
        <v>61243.642711864406</v>
      </c>
      <c r="S30" s="158">
        <f t="shared" ref="S30" si="10">SUM(S23:S29)</f>
        <v>61243.642711864406</v>
      </c>
      <c r="T30" s="158">
        <f t="shared" ref="T30" si="11">SUM(T23:T29)</f>
        <v>61243.642711864406</v>
      </c>
      <c r="U30" s="158">
        <f t="shared" ref="U30" si="12">SUM(U23:U29)</f>
        <v>61243.642711864406</v>
      </c>
      <c r="V30" s="158">
        <f t="shared" ref="V30" si="13">SUM(V23:V29)</f>
        <v>61243.642711864406</v>
      </c>
      <c r="W30" s="158">
        <f t="shared" ref="W30" si="14">SUM(W23:W29)</f>
        <v>61243.642711864406</v>
      </c>
    </row>
    <row r="31" spans="3:23" s="160" customFormat="1" ht="29.25" customHeight="1" x14ac:dyDescent="0.3">
      <c r="C31" s="159"/>
      <c r="F31" s="159"/>
      <c r="H31" s="161"/>
      <c r="I31" s="162"/>
      <c r="J31" s="163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</row>
    <row r="32" spans="3:23" ht="18" x14ac:dyDescent="0.3">
      <c r="E32" s="191" t="s">
        <v>90</v>
      </c>
      <c r="F32" s="192"/>
      <c r="H32" s="144"/>
      <c r="J32" s="142"/>
      <c r="L32" s="145" t="s">
        <v>116</v>
      </c>
      <c r="M32" s="145" t="s">
        <v>117</v>
      </c>
      <c r="N32" s="145" t="s">
        <v>118</v>
      </c>
      <c r="O32" s="145" t="s">
        <v>119</v>
      </c>
      <c r="P32" s="145" t="s">
        <v>29</v>
      </c>
      <c r="Q32" s="145" t="s">
        <v>30</v>
      </c>
      <c r="R32" s="145" t="s">
        <v>31</v>
      </c>
      <c r="S32" s="145" t="s">
        <v>32</v>
      </c>
      <c r="T32" s="145" t="s">
        <v>33</v>
      </c>
      <c r="U32" s="145" t="s">
        <v>34</v>
      </c>
      <c r="V32" s="145" t="s">
        <v>35</v>
      </c>
      <c r="W32" s="145" t="s">
        <v>36</v>
      </c>
    </row>
    <row r="33" spans="2:25" ht="13.5" customHeight="1" x14ac:dyDescent="0.3">
      <c r="E33" s="146"/>
      <c r="H33" s="144"/>
      <c r="J33" s="142"/>
    </row>
    <row r="34" spans="2:25" x14ac:dyDescent="0.3">
      <c r="C34" s="147" t="s">
        <v>39</v>
      </c>
      <c r="F34" s="148" t="s">
        <v>81</v>
      </c>
      <c r="H34" s="144"/>
      <c r="J34" s="102">
        <f>PARAMETROS!H10</f>
        <v>5217.6271186440672</v>
      </c>
      <c r="L34" s="121">
        <f>J34</f>
        <v>5217.6271186440672</v>
      </c>
      <c r="M34" s="121">
        <f>L34</f>
        <v>5217.6271186440672</v>
      </c>
      <c r="N34" s="121">
        <f t="shared" ref="N34:W34" si="15">M34</f>
        <v>5217.6271186440672</v>
      </c>
      <c r="O34" s="121">
        <f t="shared" si="15"/>
        <v>5217.6271186440672</v>
      </c>
      <c r="P34" s="121">
        <f t="shared" si="15"/>
        <v>5217.6271186440672</v>
      </c>
      <c r="Q34" s="121">
        <f t="shared" si="15"/>
        <v>5217.6271186440672</v>
      </c>
      <c r="R34" s="121">
        <f t="shared" si="15"/>
        <v>5217.6271186440672</v>
      </c>
      <c r="S34" s="121">
        <f t="shared" si="15"/>
        <v>5217.6271186440672</v>
      </c>
      <c r="T34" s="121">
        <f t="shared" si="15"/>
        <v>5217.6271186440672</v>
      </c>
      <c r="U34" s="121">
        <f t="shared" si="15"/>
        <v>5217.6271186440672</v>
      </c>
      <c r="V34" s="121">
        <f t="shared" si="15"/>
        <v>5217.6271186440672</v>
      </c>
      <c r="W34" s="121">
        <f t="shared" si="15"/>
        <v>5217.6271186440672</v>
      </c>
    </row>
    <row r="35" spans="2:25" x14ac:dyDescent="0.3">
      <c r="C35" s="147" t="s">
        <v>40</v>
      </c>
      <c r="E35" s="150"/>
      <c r="F35" s="151" t="s">
        <v>88</v>
      </c>
      <c r="H35" s="144"/>
      <c r="J35" s="165">
        <f>PARAMETROS!H29</f>
        <v>1164.8000000000002</v>
      </c>
      <c r="L35" s="121">
        <f t="shared" ref="L35:L41" si="16">J35</f>
        <v>1164.8000000000002</v>
      </c>
      <c r="M35" s="121">
        <f t="shared" ref="M35:W41" si="17">L35</f>
        <v>1164.8000000000002</v>
      </c>
      <c r="N35" s="121">
        <f t="shared" si="17"/>
        <v>1164.8000000000002</v>
      </c>
      <c r="O35" s="121">
        <f t="shared" si="17"/>
        <v>1164.8000000000002</v>
      </c>
      <c r="P35" s="121">
        <f t="shared" si="17"/>
        <v>1164.8000000000002</v>
      </c>
      <c r="Q35" s="121">
        <f t="shared" si="17"/>
        <v>1164.8000000000002</v>
      </c>
      <c r="R35" s="121">
        <f t="shared" si="17"/>
        <v>1164.8000000000002</v>
      </c>
      <c r="S35" s="121">
        <f t="shared" si="17"/>
        <v>1164.8000000000002</v>
      </c>
      <c r="T35" s="121">
        <f t="shared" si="17"/>
        <v>1164.8000000000002</v>
      </c>
      <c r="U35" s="121">
        <f t="shared" si="17"/>
        <v>1164.8000000000002</v>
      </c>
      <c r="V35" s="121">
        <f t="shared" si="17"/>
        <v>1164.8000000000002</v>
      </c>
      <c r="W35" s="121">
        <f t="shared" si="17"/>
        <v>1164.8000000000002</v>
      </c>
    </row>
    <row r="36" spans="2:25" x14ac:dyDescent="0.3">
      <c r="C36" s="147" t="s">
        <v>40</v>
      </c>
      <c r="E36" s="150"/>
      <c r="F36" s="151" t="s">
        <v>89</v>
      </c>
      <c r="H36" s="144"/>
      <c r="J36" s="166">
        <f>PARAMETROS!H30</f>
        <v>416</v>
      </c>
      <c r="L36" s="121">
        <f t="shared" si="16"/>
        <v>416</v>
      </c>
      <c r="M36" s="121">
        <f t="shared" si="17"/>
        <v>416</v>
      </c>
      <c r="N36" s="121">
        <f t="shared" si="17"/>
        <v>416</v>
      </c>
      <c r="O36" s="121">
        <f t="shared" si="17"/>
        <v>416</v>
      </c>
      <c r="P36" s="121">
        <f t="shared" si="17"/>
        <v>416</v>
      </c>
      <c r="Q36" s="121">
        <f t="shared" si="17"/>
        <v>416</v>
      </c>
      <c r="R36" s="121">
        <f t="shared" si="17"/>
        <v>416</v>
      </c>
      <c r="S36" s="121">
        <f t="shared" si="17"/>
        <v>416</v>
      </c>
      <c r="T36" s="121">
        <f t="shared" si="17"/>
        <v>416</v>
      </c>
      <c r="U36" s="121">
        <f t="shared" si="17"/>
        <v>416</v>
      </c>
      <c r="V36" s="121">
        <f t="shared" si="17"/>
        <v>416</v>
      </c>
      <c r="W36" s="121">
        <f t="shared" si="17"/>
        <v>416</v>
      </c>
    </row>
    <row r="37" spans="2:25" x14ac:dyDescent="0.3">
      <c r="C37" s="147" t="s">
        <v>42</v>
      </c>
      <c r="E37" s="150"/>
      <c r="F37" s="151" t="s">
        <v>83</v>
      </c>
      <c r="H37" s="144"/>
      <c r="J37" s="102">
        <f>PARAMETROS!H42</f>
        <v>4463.9999999999991</v>
      </c>
      <c r="L37" s="121">
        <f t="shared" si="16"/>
        <v>4463.9999999999991</v>
      </c>
      <c r="M37" s="121">
        <f t="shared" si="17"/>
        <v>4463.9999999999991</v>
      </c>
      <c r="N37" s="121">
        <f t="shared" si="17"/>
        <v>4463.9999999999991</v>
      </c>
      <c r="O37" s="121">
        <f t="shared" si="17"/>
        <v>4463.9999999999991</v>
      </c>
      <c r="P37" s="121">
        <f t="shared" si="17"/>
        <v>4463.9999999999991</v>
      </c>
      <c r="Q37" s="121">
        <f t="shared" si="17"/>
        <v>4463.9999999999991</v>
      </c>
      <c r="R37" s="121">
        <f t="shared" si="17"/>
        <v>4463.9999999999991</v>
      </c>
      <c r="S37" s="121">
        <f t="shared" si="17"/>
        <v>4463.9999999999991</v>
      </c>
      <c r="T37" s="121">
        <f t="shared" si="17"/>
        <v>4463.9999999999991</v>
      </c>
      <c r="U37" s="121">
        <f t="shared" si="17"/>
        <v>4463.9999999999991</v>
      </c>
      <c r="V37" s="121">
        <f t="shared" si="17"/>
        <v>4463.9999999999991</v>
      </c>
      <c r="W37" s="121">
        <f t="shared" si="17"/>
        <v>4463.9999999999991</v>
      </c>
    </row>
    <row r="38" spans="2:25" x14ac:dyDescent="0.3">
      <c r="C38" s="147" t="s">
        <v>43</v>
      </c>
      <c r="E38" s="150"/>
      <c r="F38" s="151" t="s">
        <v>84</v>
      </c>
      <c r="H38" s="144"/>
      <c r="J38" s="102">
        <f>PARAMETROS!H45</f>
        <v>223.19999999999996</v>
      </c>
      <c r="L38" s="121">
        <f t="shared" si="16"/>
        <v>223.19999999999996</v>
      </c>
      <c r="M38" s="121">
        <f t="shared" si="17"/>
        <v>223.19999999999996</v>
      </c>
      <c r="N38" s="121">
        <f t="shared" si="17"/>
        <v>223.19999999999996</v>
      </c>
      <c r="O38" s="121">
        <f t="shared" si="17"/>
        <v>223.19999999999996</v>
      </c>
      <c r="P38" s="121">
        <f t="shared" si="17"/>
        <v>223.19999999999996</v>
      </c>
      <c r="Q38" s="121">
        <f t="shared" si="17"/>
        <v>223.19999999999996</v>
      </c>
      <c r="R38" s="121">
        <f t="shared" si="17"/>
        <v>223.19999999999996</v>
      </c>
      <c r="S38" s="121">
        <f t="shared" si="17"/>
        <v>223.19999999999996</v>
      </c>
      <c r="T38" s="121">
        <f t="shared" si="17"/>
        <v>223.19999999999996</v>
      </c>
      <c r="U38" s="121">
        <f t="shared" si="17"/>
        <v>223.19999999999996</v>
      </c>
      <c r="V38" s="121">
        <f t="shared" si="17"/>
        <v>223.19999999999996</v>
      </c>
      <c r="W38" s="121">
        <f t="shared" si="17"/>
        <v>223.19999999999996</v>
      </c>
    </row>
    <row r="39" spans="2:25" x14ac:dyDescent="0.3">
      <c r="C39" s="147"/>
      <c r="E39" s="150"/>
      <c r="F39" s="151" t="s">
        <v>85</v>
      </c>
      <c r="H39" s="144"/>
      <c r="J39" s="102">
        <f>PARAMETROS!H67+PARAMETROS!H68</f>
        <v>0</v>
      </c>
      <c r="L39" s="121">
        <f t="shared" si="16"/>
        <v>0</v>
      </c>
      <c r="M39" s="121">
        <f t="shared" si="17"/>
        <v>0</v>
      </c>
      <c r="N39" s="121">
        <f t="shared" si="17"/>
        <v>0</v>
      </c>
      <c r="O39" s="121">
        <f t="shared" si="17"/>
        <v>0</v>
      </c>
      <c r="P39" s="121">
        <f t="shared" si="17"/>
        <v>0</v>
      </c>
      <c r="Q39" s="121">
        <f t="shared" si="17"/>
        <v>0</v>
      </c>
      <c r="R39" s="121">
        <f t="shared" si="17"/>
        <v>0</v>
      </c>
      <c r="S39" s="121">
        <f t="shared" si="17"/>
        <v>0</v>
      </c>
      <c r="T39" s="121">
        <f t="shared" si="17"/>
        <v>0</v>
      </c>
      <c r="U39" s="121">
        <f t="shared" si="17"/>
        <v>0</v>
      </c>
      <c r="V39" s="121">
        <f t="shared" si="17"/>
        <v>0</v>
      </c>
      <c r="W39" s="121">
        <f t="shared" si="17"/>
        <v>0</v>
      </c>
    </row>
    <row r="40" spans="2:25" x14ac:dyDescent="0.3">
      <c r="C40" s="147"/>
      <c r="E40" s="150"/>
      <c r="F40" s="151" t="s">
        <v>86</v>
      </c>
      <c r="H40" s="144"/>
      <c r="J40" s="102">
        <f>PARAMETROS!H59</f>
        <v>775</v>
      </c>
      <c r="L40" s="121">
        <f t="shared" si="16"/>
        <v>775</v>
      </c>
      <c r="M40" s="121">
        <f t="shared" si="17"/>
        <v>775</v>
      </c>
      <c r="N40" s="121">
        <f t="shared" si="17"/>
        <v>775</v>
      </c>
      <c r="O40" s="121">
        <f t="shared" si="17"/>
        <v>775</v>
      </c>
      <c r="P40" s="121">
        <f t="shared" si="17"/>
        <v>775</v>
      </c>
      <c r="Q40" s="121">
        <f t="shared" si="17"/>
        <v>775</v>
      </c>
      <c r="R40" s="121">
        <f t="shared" si="17"/>
        <v>775</v>
      </c>
      <c r="S40" s="121">
        <f t="shared" si="17"/>
        <v>775</v>
      </c>
      <c r="T40" s="121">
        <f t="shared" si="17"/>
        <v>775</v>
      </c>
      <c r="U40" s="121">
        <f t="shared" si="17"/>
        <v>775</v>
      </c>
      <c r="V40" s="121">
        <f t="shared" si="17"/>
        <v>775</v>
      </c>
      <c r="W40" s="121">
        <f t="shared" si="17"/>
        <v>775</v>
      </c>
    </row>
    <row r="41" spans="2:25" x14ac:dyDescent="0.3">
      <c r="C41" s="147" t="s">
        <v>41</v>
      </c>
      <c r="F41" s="151" t="s">
        <v>87</v>
      </c>
      <c r="H41" s="144"/>
      <c r="J41" s="102">
        <f>PARAMETROS!H66</f>
        <v>434</v>
      </c>
      <c r="L41" s="153">
        <f t="shared" si="16"/>
        <v>434</v>
      </c>
      <c r="M41" s="153">
        <f t="shared" si="17"/>
        <v>434</v>
      </c>
      <c r="N41" s="153">
        <f t="shared" si="17"/>
        <v>434</v>
      </c>
      <c r="O41" s="153">
        <f t="shared" si="17"/>
        <v>434</v>
      </c>
      <c r="P41" s="153">
        <f t="shared" si="17"/>
        <v>434</v>
      </c>
      <c r="Q41" s="153">
        <f t="shared" si="17"/>
        <v>434</v>
      </c>
      <c r="R41" s="153">
        <f t="shared" si="17"/>
        <v>434</v>
      </c>
      <c r="S41" s="153">
        <f t="shared" si="17"/>
        <v>434</v>
      </c>
      <c r="T41" s="153">
        <f t="shared" si="17"/>
        <v>434</v>
      </c>
      <c r="U41" s="153">
        <f t="shared" si="17"/>
        <v>434</v>
      </c>
      <c r="V41" s="153">
        <f t="shared" si="17"/>
        <v>434</v>
      </c>
      <c r="W41" s="153">
        <f t="shared" si="17"/>
        <v>434</v>
      </c>
    </row>
    <row r="42" spans="2:25" s="60" customFormat="1" ht="22.5" customHeight="1" x14ac:dyDescent="0.3">
      <c r="C42" s="154" t="s">
        <v>44</v>
      </c>
      <c r="F42" s="154" t="s">
        <v>80</v>
      </c>
      <c r="H42" s="155">
        <f>J42/F19</f>
        <v>6.8250683433570261E-3</v>
      </c>
      <c r="I42" s="156"/>
      <c r="J42" s="157">
        <f>SUM(J34:J41)</f>
        <v>12694.627118644068</v>
      </c>
      <c r="L42" s="158">
        <f t="shared" ref="L42:W42" si="18">SUM(L34:L41)</f>
        <v>12694.627118644068</v>
      </c>
      <c r="M42" s="158">
        <f t="shared" si="18"/>
        <v>12694.627118644068</v>
      </c>
      <c r="N42" s="158">
        <f t="shared" si="18"/>
        <v>12694.627118644068</v>
      </c>
      <c r="O42" s="158">
        <f t="shared" si="18"/>
        <v>12694.627118644068</v>
      </c>
      <c r="P42" s="158">
        <f t="shared" si="18"/>
        <v>12694.627118644068</v>
      </c>
      <c r="Q42" s="158">
        <f t="shared" si="18"/>
        <v>12694.627118644068</v>
      </c>
      <c r="R42" s="158">
        <f t="shared" si="18"/>
        <v>12694.627118644068</v>
      </c>
      <c r="S42" s="158">
        <f t="shared" si="18"/>
        <v>12694.627118644068</v>
      </c>
      <c r="T42" s="158">
        <f t="shared" si="18"/>
        <v>12694.627118644068</v>
      </c>
      <c r="U42" s="158">
        <f t="shared" si="18"/>
        <v>12694.627118644068</v>
      </c>
      <c r="V42" s="158">
        <f t="shared" si="18"/>
        <v>12694.627118644068</v>
      </c>
      <c r="W42" s="158">
        <f t="shared" si="18"/>
        <v>12694.627118644068</v>
      </c>
    </row>
    <row r="44" spans="2:25" ht="7.5" customHeight="1" x14ac:dyDescent="0.3">
      <c r="C44" s="49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</row>
    <row r="45" spans="2:25" ht="21" customHeight="1" x14ac:dyDescent="0.3">
      <c r="B45" s="168"/>
      <c r="C45" s="168" t="s">
        <v>37</v>
      </c>
      <c r="D45" s="169"/>
      <c r="E45" s="168"/>
      <c r="F45" s="168" t="s">
        <v>99</v>
      </c>
      <c r="H45" s="170">
        <f>Y45/(F19*12)</f>
        <v>2.6101621286677604E-2</v>
      </c>
      <c r="K45" s="167"/>
      <c r="L45" s="171">
        <f>L30-L42</f>
        <v>48549.015593220334</v>
      </c>
      <c r="M45" s="171">
        <f t="shared" ref="M45:W45" si="19">M30-M42</f>
        <v>48549.015593220334</v>
      </c>
      <c r="N45" s="171">
        <f t="shared" si="19"/>
        <v>48549.015593220334</v>
      </c>
      <c r="O45" s="171">
        <f t="shared" si="19"/>
        <v>48549.015593220334</v>
      </c>
      <c r="P45" s="171">
        <f t="shared" si="19"/>
        <v>48549.015593220334</v>
      </c>
      <c r="Q45" s="171">
        <f t="shared" si="19"/>
        <v>48549.015593220334</v>
      </c>
      <c r="R45" s="171">
        <f t="shared" si="19"/>
        <v>48549.015593220334</v>
      </c>
      <c r="S45" s="171">
        <f t="shared" si="19"/>
        <v>48549.015593220334</v>
      </c>
      <c r="T45" s="171">
        <f t="shared" si="19"/>
        <v>48549.015593220334</v>
      </c>
      <c r="U45" s="171">
        <f t="shared" si="19"/>
        <v>48549.015593220334</v>
      </c>
      <c r="V45" s="171">
        <f t="shared" si="19"/>
        <v>48549.015593220334</v>
      </c>
      <c r="W45" s="171">
        <f t="shared" si="19"/>
        <v>48549.015593220334</v>
      </c>
      <c r="Y45" s="172">
        <f>SUM(L45:W45)</f>
        <v>582588.18711864413</v>
      </c>
    </row>
    <row r="46" spans="2:25" ht="5.25" customHeight="1" x14ac:dyDescent="0.3">
      <c r="C46" s="49"/>
      <c r="F46" s="49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</row>
    <row r="47" spans="2:25" ht="21" customHeight="1" x14ac:dyDescent="0.3">
      <c r="B47" s="168"/>
      <c r="C47" s="168" t="s">
        <v>38</v>
      </c>
      <c r="D47" s="169"/>
      <c r="E47" s="168"/>
      <c r="F47" s="168" t="s">
        <v>100</v>
      </c>
      <c r="K47" s="167"/>
      <c r="L47" s="171">
        <f>L45</f>
        <v>48549.015593220334</v>
      </c>
      <c r="M47" s="171">
        <f>L47+M45</f>
        <v>97098.031186440669</v>
      </c>
      <c r="N47" s="171">
        <f t="shared" ref="N47:W47" si="20">M47+N45</f>
        <v>145647.046779661</v>
      </c>
      <c r="O47" s="171">
        <f t="shared" si="20"/>
        <v>194196.06237288134</v>
      </c>
      <c r="P47" s="171">
        <f t="shared" si="20"/>
        <v>242745.07796610167</v>
      </c>
      <c r="Q47" s="171">
        <f t="shared" si="20"/>
        <v>291294.09355932201</v>
      </c>
      <c r="R47" s="171">
        <f t="shared" si="20"/>
        <v>339843.10915254231</v>
      </c>
      <c r="S47" s="171">
        <f t="shared" si="20"/>
        <v>388392.12474576267</v>
      </c>
      <c r="T47" s="171">
        <f t="shared" si="20"/>
        <v>436941.14033898304</v>
      </c>
      <c r="U47" s="171">
        <f t="shared" si="20"/>
        <v>485490.1559322034</v>
      </c>
      <c r="V47" s="171">
        <f t="shared" si="20"/>
        <v>534039.17152542376</v>
      </c>
      <c r="W47" s="171">
        <f t="shared" si="20"/>
        <v>582588.18711864413</v>
      </c>
    </row>
    <row r="48" spans="2:25" ht="5.25" customHeight="1" x14ac:dyDescent="0.3">
      <c r="C48" s="49"/>
      <c r="F48" s="49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</row>
    <row r="49" spans="6:25" x14ac:dyDescent="0.3">
      <c r="J49" s="104"/>
    </row>
    <row r="50" spans="6:25" s="174" customFormat="1" ht="18" x14ac:dyDescent="0.3">
      <c r="F50" s="173" t="s">
        <v>91</v>
      </c>
      <c r="H50" s="186">
        <v>0.05</v>
      </c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</row>
    <row r="51" spans="6:25" ht="9" customHeight="1" x14ac:dyDescent="0.3">
      <c r="F51" s="176"/>
      <c r="H51" s="177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</row>
    <row r="52" spans="6:25" x14ac:dyDescent="0.3">
      <c r="F52" s="49" t="s">
        <v>101</v>
      </c>
      <c r="L52" s="179">
        <f>$L$30</f>
        <v>61243.642711864406</v>
      </c>
      <c r="M52" s="167">
        <f>L53</f>
        <v>58181.46057627118</v>
      </c>
      <c r="N52" s="167">
        <f t="shared" ref="N52:W52" si="21">M53</f>
        <v>55272.38754745762</v>
      </c>
      <c r="O52" s="167">
        <f t="shared" si="21"/>
        <v>52508.768170084739</v>
      </c>
      <c r="P52" s="167">
        <f t="shared" si="21"/>
        <v>49883.329761580499</v>
      </c>
      <c r="Q52" s="167">
        <f t="shared" si="21"/>
        <v>47389.163273501472</v>
      </c>
      <c r="R52" s="167">
        <f t="shared" si="21"/>
        <v>45019.705109826398</v>
      </c>
      <c r="S52" s="167">
        <f t="shared" si="21"/>
        <v>42768.719854335075</v>
      </c>
      <c r="T52" s="167">
        <f t="shared" si="21"/>
        <v>40630.283861618322</v>
      </c>
      <c r="U52" s="167">
        <f t="shared" si="21"/>
        <v>38598.769668537403</v>
      </c>
      <c r="V52" s="167">
        <f t="shared" si="21"/>
        <v>36668.831185110532</v>
      </c>
      <c r="W52" s="167">
        <f t="shared" si="21"/>
        <v>34835.389625855001</v>
      </c>
    </row>
    <row r="53" spans="6:25" x14ac:dyDescent="0.3">
      <c r="F53" s="49" t="s">
        <v>95</v>
      </c>
      <c r="L53" s="180">
        <f t="shared" ref="L53:W53" si="22">L52*(1-$H$50)</f>
        <v>58181.46057627118</v>
      </c>
      <c r="M53" s="180">
        <f t="shared" si="22"/>
        <v>55272.38754745762</v>
      </c>
      <c r="N53" s="180">
        <f t="shared" si="22"/>
        <v>52508.768170084739</v>
      </c>
      <c r="O53" s="180">
        <f t="shared" si="22"/>
        <v>49883.329761580499</v>
      </c>
      <c r="P53" s="180">
        <f t="shared" si="22"/>
        <v>47389.163273501472</v>
      </c>
      <c r="Q53" s="180">
        <f t="shared" si="22"/>
        <v>45019.705109826398</v>
      </c>
      <c r="R53" s="180">
        <f t="shared" si="22"/>
        <v>42768.719854335075</v>
      </c>
      <c r="S53" s="180">
        <f t="shared" si="22"/>
        <v>40630.283861618322</v>
      </c>
      <c r="T53" s="180">
        <f t="shared" si="22"/>
        <v>38598.769668537403</v>
      </c>
      <c r="U53" s="180">
        <f t="shared" si="22"/>
        <v>36668.831185110532</v>
      </c>
      <c r="V53" s="180">
        <f t="shared" si="22"/>
        <v>34835.389625855001</v>
      </c>
      <c r="W53" s="180">
        <f t="shared" si="22"/>
        <v>33093.62014456225</v>
      </c>
    </row>
    <row r="54" spans="6:25" ht="9" customHeight="1" x14ac:dyDescent="0.3"/>
    <row r="55" spans="6:25" x14ac:dyDescent="0.3">
      <c r="F55" s="49" t="s">
        <v>96</v>
      </c>
      <c r="L55" s="179">
        <f>$L$42</f>
        <v>12694.627118644068</v>
      </c>
      <c r="M55" s="167">
        <f>L55-L56</f>
        <v>12059.895762711865</v>
      </c>
      <c r="N55" s="167">
        <f t="shared" ref="N55:R55" si="23">M55-M56</f>
        <v>11456.900974576272</v>
      </c>
      <c r="O55" s="167">
        <f t="shared" si="23"/>
        <v>10884.055925847459</v>
      </c>
      <c r="P55" s="167">
        <f t="shared" si="23"/>
        <v>10339.853129555086</v>
      </c>
      <c r="Q55" s="167">
        <f t="shared" si="23"/>
        <v>9822.8604730773313</v>
      </c>
      <c r="R55" s="167">
        <f t="shared" si="23"/>
        <v>9331.7174494234641</v>
      </c>
      <c r="S55" s="167">
        <f t="shared" ref="S55:W55" si="24">R55-R56</f>
        <v>8865.1315769522917</v>
      </c>
      <c r="T55" s="167">
        <f t="shared" si="24"/>
        <v>8421.8749981046767</v>
      </c>
      <c r="U55" s="167">
        <f t="shared" si="24"/>
        <v>8000.7812481994424</v>
      </c>
      <c r="V55" s="167">
        <f t="shared" si="24"/>
        <v>7600.7421857894706</v>
      </c>
      <c r="W55" s="167">
        <f t="shared" si="24"/>
        <v>7220.7050764999967</v>
      </c>
    </row>
    <row r="56" spans="6:25" x14ac:dyDescent="0.3">
      <c r="F56" s="49" t="s">
        <v>94</v>
      </c>
      <c r="L56" s="180">
        <f>L55*$H$50</f>
        <v>634.73135593220343</v>
      </c>
      <c r="M56" s="180">
        <f t="shared" ref="M56:W56" si="25">M55*$H$50</f>
        <v>602.99478813559324</v>
      </c>
      <c r="N56" s="180">
        <f t="shared" si="25"/>
        <v>572.84504872881359</v>
      </c>
      <c r="O56" s="180">
        <f t="shared" si="25"/>
        <v>544.20279629237291</v>
      </c>
      <c r="P56" s="180">
        <f t="shared" si="25"/>
        <v>516.99265647775428</v>
      </c>
      <c r="Q56" s="180">
        <f t="shared" si="25"/>
        <v>491.14302365386658</v>
      </c>
      <c r="R56" s="180">
        <f t="shared" si="25"/>
        <v>466.58587247117322</v>
      </c>
      <c r="S56" s="180">
        <f t="shared" si="25"/>
        <v>443.25657884761461</v>
      </c>
      <c r="T56" s="180">
        <f t="shared" si="25"/>
        <v>421.09374990523384</v>
      </c>
      <c r="U56" s="180">
        <f t="shared" si="25"/>
        <v>400.03906240997213</v>
      </c>
      <c r="V56" s="180">
        <f t="shared" si="25"/>
        <v>380.03710928947356</v>
      </c>
      <c r="W56" s="180">
        <f t="shared" si="25"/>
        <v>361.03525382499987</v>
      </c>
    </row>
    <row r="57" spans="6:25" ht="6.75" customHeight="1" x14ac:dyDescent="0.3"/>
    <row r="58" spans="6:25" x14ac:dyDescent="0.3">
      <c r="F58" s="49" t="s">
        <v>97</v>
      </c>
      <c r="L58" s="104">
        <f t="shared" ref="L58:R58" si="26">L52-L53</f>
        <v>3062.1821355932261</v>
      </c>
      <c r="M58" s="104">
        <f t="shared" si="26"/>
        <v>2909.0730288135601</v>
      </c>
      <c r="N58" s="104">
        <f t="shared" si="26"/>
        <v>2763.619377372881</v>
      </c>
      <c r="O58" s="104">
        <f t="shared" si="26"/>
        <v>2625.4384085042402</v>
      </c>
      <c r="P58" s="104">
        <f t="shared" si="26"/>
        <v>2494.1664880790267</v>
      </c>
      <c r="Q58" s="104">
        <f t="shared" si="26"/>
        <v>2369.4581636750736</v>
      </c>
      <c r="R58" s="104">
        <f t="shared" si="26"/>
        <v>2250.9852554913232</v>
      </c>
      <c r="S58" s="104">
        <f t="shared" ref="S58:W58" si="27">S52-S53</f>
        <v>2138.4359927167534</v>
      </c>
      <c r="T58" s="104">
        <f t="shared" si="27"/>
        <v>2031.5141930809186</v>
      </c>
      <c r="U58" s="104">
        <f t="shared" si="27"/>
        <v>1929.9384834268712</v>
      </c>
      <c r="V58" s="104">
        <f t="shared" si="27"/>
        <v>1833.4415592555306</v>
      </c>
      <c r="W58" s="104">
        <f t="shared" si="27"/>
        <v>1741.7694812927512</v>
      </c>
    </row>
    <row r="59" spans="6:25" x14ac:dyDescent="0.3">
      <c r="F59" s="49" t="s">
        <v>98</v>
      </c>
      <c r="L59" s="180">
        <f>L56</f>
        <v>634.73135593220343</v>
      </c>
      <c r="M59" s="180">
        <f t="shared" ref="M59:R59" si="28">M56</f>
        <v>602.99478813559324</v>
      </c>
      <c r="N59" s="180">
        <f t="shared" si="28"/>
        <v>572.84504872881359</v>
      </c>
      <c r="O59" s="180">
        <f t="shared" si="28"/>
        <v>544.20279629237291</v>
      </c>
      <c r="P59" s="180">
        <f t="shared" si="28"/>
        <v>516.99265647775428</v>
      </c>
      <c r="Q59" s="180">
        <f t="shared" si="28"/>
        <v>491.14302365386658</v>
      </c>
      <c r="R59" s="180">
        <f t="shared" si="28"/>
        <v>466.58587247117322</v>
      </c>
      <c r="S59" s="180">
        <f t="shared" ref="S59:W59" si="29">S56</f>
        <v>443.25657884761461</v>
      </c>
      <c r="T59" s="180">
        <f t="shared" si="29"/>
        <v>421.09374990523384</v>
      </c>
      <c r="U59" s="180">
        <f t="shared" si="29"/>
        <v>400.03906240997213</v>
      </c>
      <c r="V59" s="180">
        <f t="shared" si="29"/>
        <v>380.03710928947356</v>
      </c>
      <c r="W59" s="180">
        <f t="shared" si="29"/>
        <v>361.03525382499987</v>
      </c>
    </row>
    <row r="60" spans="6:25" ht="5.25" customHeight="1" x14ac:dyDescent="0.3"/>
    <row r="61" spans="6:25" ht="18" x14ac:dyDescent="0.3">
      <c r="F61" s="181" t="s">
        <v>92</v>
      </c>
      <c r="L61" s="104">
        <f>L58-L59</f>
        <v>2427.4507796610228</v>
      </c>
      <c r="M61" s="104">
        <f t="shared" ref="M61:R61" si="30">M58-M59</f>
        <v>2306.0782406779667</v>
      </c>
      <c r="N61" s="104">
        <f t="shared" si="30"/>
        <v>2190.7743286440673</v>
      </c>
      <c r="O61" s="104">
        <f t="shared" si="30"/>
        <v>2081.2356122118672</v>
      </c>
      <c r="P61" s="104">
        <f t="shared" si="30"/>
        <v>1977.1738316012725</v>
      </c>
      <c r="Q61" s="104">
        <f t="shared" si="30"/>
        <v>1878.3151400212071</v>
      </c>
      <c r="R61" s="104">
        <f t="shared" si="30"/>
        <v>1784.39938302015</v>
      </c>
      <c r="S61" s="104">
        <f t="shared" ref="S61:W61" si="31">S58-S59</f>
        <v>1695.1794138691389</v>
      </c>
      <c r="T61" s="104">
        <f t="shared" si="31"/>
        <v>1610.4204431756848</v>
      </c>
      <c r="U61" s="104">
        <f t="shared" si="31"/>
        <v>1529.8994210168992</v>
      </c>
      <c r="V61" s="104">
        <f t="shared" si="31"/>
        <v>1453.404449966057</v>
      </c>
      <c r="W61" s="104">
        <f t="shared" si="31"/>
        <v>1380.7342274677512</v>
      </c>
      <c r="Y61" s="182">
        <f>SUM(L61:W61)</f>
        <v>22315.065271333086</v>
      </c>
    </row>
    <row r="62" spans="6:25" ht="7.5" customHeight="1" x14ac:dyDescent="0.3">
      <c r="F62" s="49"/>
      <c r="Y62" s="183"/>
    </row>
    <row r="63" spans="6:25" ht="18" x14ac:dyDescent="0.3">
      <c r="F63" s="181" t="s">
        <v>93</v>
      </c>
      <c r="L63" s="104">
        <f>L61</f>
        <v>2427.4507796610228</v>
      </c>
      <c r="M63" s="104">
        <f t="shared" ref="M63:W63" si="32">L63+M61</f>
        <v>4733.5290203389895</v>
      </c>
      <c r="N63" s="104">
        <f t="shared" si="32"/>
        <v>6924.3033489830568</v>
      </c>
      <c r="O63" s="104">
        <f t="shared" si="32"/>
        <v>9005.5389611949249</v>
      </c>
      <c r="P63" s="104">
        <f t="shared" si="32"/>
        <v>10982.712792796197</v>
      </c>
      <c r="Q63" s="104">
        <f t="shared" si="32"/>
        <v>12861.027932817404</v>
      </c>
      <c r="R63" s="104">
        <f t="shared" si="32"/>
        <v>14645.427315837554</v>
      </c>
      <c r="S63" s="104">
        <f t="shared" si="32"/>
        <v>16340.606729706693</v>
      </c>
      <c r="T63" s="104">
        <f t="shared" si="32"/>
        <v>17951.027172882379</v>
      </c>
      <c r="U63" s="104">
        <f t="shared" si="32"/>
        <v>19480.926593899279</v>
      </c>
      <c r="V63" s="104">
        <f t="shared" si="32"/>
        <v>20934.331043865335</v>
      </c>
      <c r="W63" s="104">
        <f t="shared" si="32"/>
        <v>22315.065271333086</v>
      </c>
      <c r="Y63" s="184">
        <f>Y61/$L$45</f>
        <v>0.45963991233736345</v>
      </c>
    </row>
    <row r="64" spans="6:25" ht="23.25" customHeight="1" x14ac:dyDescent="0.3"/>
    <row r="65" spans="6:25" s="174" customFormat="1" ht="18" x14ac:dyDescent="0.3">
      <c r="F65" s="173" t="s">
        <v>91</v>
      </c>
      <c r="H65" s="186">
        <v>0.1</v>
      </c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</row>
    <row r="66" spans="6:25" ht="7.5" customHeight="1" x14ac:dyDescent="0.3">
      <c r="F66" s="176"/>
      <c r="H66" s="177"/>
      <c r="L66" s="178"/>
      <c r="M66" s="178"/>
      <c r="N66" s="185"/>
      <c r="O66" s="178"/>
      <c r="P66" s="178"/>
      <c r="Q66" s="178"/>
      <c r="R66" s="178"/>
      <c r="S66" s="178"/>
      <c r="T66" s="178"/>
      <c r="U66" s="178"/>
      <c r="V66" s="178"/>
      <c r="W66" s="178"/>
    </row>
    <row r="67" spans="6:25" x14ac:dyDescent="0.3">
      <c r="F67" s="49" t="s">
        <v>101</v>
      </c>
      <c r="L67" s="179">
        <f>$L$30</f>
        <v>61243.642711864406</v>
      </c>
      <c r="M67" s="167">
        <f>L68</f>
        <v>55119.278440677968</v>
      </c>
      <c r="N67" s="167">
        <f t="shared" ref="N67" si="33">M68</f>
        <v>49607.350596610173</v>
      </c>
      <c r="O67" s="167">
        <f t="shared" ref="O67" si="34">N68</f>
        <v>44646.615536949153</v>
      </c>
      <c r="P67" s="167">
        <f t="shared" ref="P67" si="35">O68</f>
        <v>40181.953983254236</v>
      </c>
      <c r="Q67" s="167">
        <f t="shared" ref="Q67" si="36">P68</f>
        <v>36163.758584928815</v>
      </c>
      <c r="R67" s="167">
        <f t="shared" ref="R67" si="37">Q68</f>
        <v>32547.382726435935</v>
      </c>
      <c r="S67" s="167">
        <f t="shared" ref="S67" si="38">R68</f>
        <v>29292.644453792342</v>
      </c>
      <c r="T67" s="167">
        <f t="shared" ref="T67" si="39">S68</f>
        <v>26363.380008413107</v>
      </c>
      <c r="U67" s="167">
        <f t="shared" ref="U67" si="40">T68</f>
        <v>23727.042007571796</v>
      </c>
      <c r="V67" s="167">
        <f t="shared" ref="V67" si="41">U68</f>
        <v>21354.337806814616</v>
      </c>
      <c r="W67" s="167">
        <f t="shared" ref="W67" si="42">V68</f>
        <v>19218.904026133154</v>
      </c>
    </row>
    <row r="68" spans="6:25" x14ac:dyDescent="0.3">
      <c r="F68" s="49" t="s">
        <v>95</v>
      </c>
      <c r="L68" s="180">
        <f>L67*(1-$H$65)</f>
        <v>55119.278440677968</v>
      </c>
      <c r="M68" s="180">
        <f t="shared" ref="M68:W68" si="43">M67*(1-$H$65)</f>
        <v>49607.350596610173</v>
      </c>
      <c r="N68" s="180">
        <f t="shared" si="43"/>
        <v>44646.615536949153</v>
      </c>
      <c r="O68" s="180">
        <f t="shared" si="43"/>
        <v>40181.953983254236</v>
      </c>
      <c r="P68" s="180">
        <f t="shared" si="43"/>
        <v>36163.758584928815</v>
      </c>
      <c r="Q68" s="180">
        <f t="shared" si="43"/>
        <v>32547.382726435935</v>
      </c>
      <c r="R68" s="180">
        <f t="shared" si="43"/>
        <v>29292.644453792342</v>
      </c>
      <c r="S68" s="180">
        <f t="shared" si="43"/>
        <v>26363.380008413107</v>
      </c>
      <c r="T68" s="180">
        <f t="shared" si="43"/>
        <v>23727.042007571796</v>
      </c>
      <c r="U68" s="180">
        <f t="shared" si="43"/>
        <v>21354.337806814616</v>
      </c>
      <c r="V68" s="180">
        <f t="shared" si="43"/>
        <v>19218.904026133154</v>
      </c>
      <c r="W68" s="180">
        <f t="shared" si="43"/>
        <v>17297.013623519841</v>
      </c>
    </row>
    <row r="69" spans="6:25" ht="9" customHeight="1" x14ac:dyDescent="0.3"/>
    <row r="70" spans="6:25" x14ac:dyDescent="0.3">
      <c r="F70" s="49" t="s">
        <v>96</v>
      </c>
      <c r="L70" s="179">
        <f>$L$42</f>
        <v>12694.627118644068</v>
      </c>
      <c r="M70" s="167">
        <f>L70-L71</f>
        <v>11425.164406779661</v>
      </c>
      <c r="N70" s="167">
        <f t="shared" ref="N70" si="44">M70-M71</f>
        <v>10282.647966101695</v>
      </c>
      <c r="O70" s="167">
        <f t="shared" ref="O70" si="45">N70-N71</f>
        <v>9254.3831694915243</v>
      </c>
      <c r="P70" s="167">
        <f t="shared" ref="P70" si="46">O70-O71</f>
        <v>8328.9448525423722</v>
      </c>
      <c r="Q70" s="167">
        <f t="shared" ref="Q70" si="47">P70-P71</f>
        <v>7496.050367288135</v>
      </c>
      <c r="R70" s="167">
        <f t="shared" ref="R70" si="48">Q70-Q71</f>
        <v>6746.4453305593215</v>
      </c>
      <c r="S70" s="167">
        <f t="shared" ref="S70" si="49">R70-R71</f>
        <v>6071.8007975033888</v>
      </c>
      <c r="T70" s="167">
        <f t="shared" ref="T70" si="50">S70-S71</f>
        <v>5464.6207177530496</v>
      </c>
      <c r="U70" s="167">
        <f t="shared" ref="U70" si="51">T70-T71</f>
        <v>4918.1586459777445</v>
      </c>
      <c r="V70" s="167">
        <f t="shared" ref="V70" si="52">U70-U71</f>
        <v>4426.3427813799699</v>
      </c>
      <c r="W70" s="167">
        <f t="shared" ref="W70" si="53">V70-V71</f>
        <v>3983.7085032419727</v>
      </c>
    </row>
    <row r="71" spans="6:25" x14ac:dyDescent="0.3">
      <c r="F71" s="49" t="s">
        <v>94</v>
      </c>
      <c r="L71" s="180">
        <f>L70*$H$65</f>
        <v>1269.4627118644069</v>
      </c>
      <c r="M71" s="180">
        <f t="shared" ref="M71:W71" si="54">M70*$H$65</f>
        <v>1142.5164406779661</v>
      </c>
      <c r="N71" s="180">
        <f t="shared" si="54"/>
        <v>1028.2647966101695</v>
      </c>
      <c r="O71" s="180">
        <f t="shared" si="54"/>
        <v>925.43831694915252</v>
      </c>
      <c r="P71" s="180">
        <f t="shared" si="54"/>
        <v>832.89448525423722</v>
      </c>
      <c r="Q71" s="180">
        <f t="shared" si="54"/>
        <v>749.6050367288135</v>
      </c>
      <c r="R71" s="180">
        <f t="shared" si="54"/>
        <v>674.64453305593224</v>
      </c>
      <c r="S71" s="180">
        <f t="shared" si="54"/>
        <v>607.1800797503389</v>
      </c>
      <c r="T71" s="180">
        <f t="shared" si="54"/>
        <v>546.46207177530493</v>
      </c>
      <c r="U71" s="180">
        <f t="shared" si="54"/>
        <v>491.81586459777446</v>
      </c>
      <c r="V71" s="180">
        <f t="shared" si="54"/>
        <v>442.634278137997</v>
      </c>
      <c r="W71" s="180">
        <f t="shared" si="54"/>
        <v>398.37085032419731</v>
      </c>
    </row>
    <row r="72" spans="6:25" ht="6.75" customHeight="1" x14ac:dyDescent="0.3"/>
    <row r="73" spans="6:25" x14ac:dyDescent="0.3">
      <c r="F73" s="49" t="s">
        <v>97</v>
      </c>
      <c r="L73" s="104">
        <f t="shared" ref="L73:W73" si="55">L67-L68</f>
        <v>6124.3642711864377</v>
      </c>
      <c r="M73" s="104">
        <f t="shared" si="55"/>
        <v>5511.9278440677954</v>
      </c>
      <c r="N73" s="104">
        <f t="shared" si="55"/>
        <v>4960.7350596610195</v>
      </c>
      <c r="O73" s="104">
        <f t="shared" si="55"/>
        <v>4464.6615536949175</v>
      </c>
      <c r="P73" s="104">
        <f t="shared" si="55"/>
        <v>4018.1953983254207</v>
      </c>
      <c r="Q73" s="104">
        <f t="shared" si="55"/>
        <v>3616.3758584928801</v>
      </c>
      <c r="R73" s="104">
        <f t="shared" si="55"/>
        <v>3254.7382726435935</v>
      </c>
      <c r="S73" s="104">
        <f t="shared" si="55"/>
        <v>2929.2644453792345</v>
      </c>
      <c r="T73" s="104">
        <f t="shared" si="55"/>
        <v>2636.3380008413114</v>
      </c>
      <c r="U73" s="104">
        <f t="shared" si="55"/>
        <v>2372.7042007571799</v>
      </c>
      <c r="V73" s="104">
        <f t="shared" si="55"/>
        <v>2135.4337806814619</v>
      </c>
      <c r="W73" s="104">
        <f t="shared" si="55"/>
        <v>1921.8904026133132</v>
      </c>
    </row>
    <row r="74" spans="6:25" x14ac:dyDescent="0.3">
      <c r="F74" s="49" t="s">
        <v>98</v>
      </c>
      <c r="L74" s="180">
        <f>L71</f>
        <v>1269.4627118644069</v>
      </c>
      <c r="M74" s="180">
        <f t="shared" ref="M74:W74" si="56">M71</f>
        <v>1142.5164406779661</v>
      </c>
      <c r="N74" s="180">
        <f t="shared" si="56"/>
        <v>1028.2647966101695</v>
      </c>
      <c r="O74" s="180">
        <f t="shared" si="56"/>
        <v>925.43831694915252</v>
      </c>
      <c r="P74" s="180">
        <f t="shared" si="56"/>
        <v>832.89448525423722</v>
      </c>
      <c r="Q74" s="180">
        <f t="shared" si="56"/>
        <v>749.6050367288135</v>
      </c>
      <c r="R74" s="180">
        <f t="shared" si="56"/>
        <v>674.64453305593224</v>
      </c>
      <c r="S74" s="180">
        <f t="shared" si="56"/>
        <v>607.1800797503389</v>
      </c>
      <c r="T74" s="180">
        <f t="shared" si="56"/>
        <v>546.46207177530493</v>
      </c>
      <c r="U74" s="180">
        <f t="shared" si="56"/>
        <v>491.81586459777446</v>
      </c>
      <c r="V74" s="180">
        <f t="shared" si="56"/>
        <v>442.634278137997</v>
      </c>
      <c r="W74" s="180">
        <f t="shared" si="56"/>
        <v>398.37085032419731</v>
      </c>
    </row>
    <row r="75" spans="6:25" ht="10.5" customHeight="1" x14ac:dyDescent="0.3"/>
    <row r="76" spans="6:25" ht="18" x14ac:dyDescent="0.3">
      <c r="F76" s="181" t="s">
        <v>92</v>
      </c>
      <c r="L76" s="104">
        <f>L73-L74</f>
        <v>4854.9015593220311</v>
      </c>
      <c r="M76" s="104">
        <f t="shared" ref="M76:W76" si="57">M73-M74</f>
        <v>4369.4114033898295</v>
      </c>
      <c r="N76" s="104">
        <f t="shared" si="57"/>
        <v>3932.47026305085</v>
      </c>
      <c r="O76" s="104">
        <f t="shared" si="57"/>
        <v>3539.223236745765</v>
      </c>
      <c r="P76" s="104">
        <f t="shared" si="57"/>
        <v>3185.3009130711835</v>
      </c>
      <c r="Q76" s="104">
        <f t="shared" si="57"/>
        <v>2866.7708217640666</v>
      </c>
      <c r="R76" s="104">
        <f t="shared" si="57"/>
        <v>2580.0937395876613</v>
      </c>
      <c r="S76" s="104">
        <f t="shared" si="57"/>
        <v>2322.0843656288957</v>
      </c>
      <c r="T76" s="104">
        <f t="shared" si="57"/>
        <v>2089.8759290660064</v>
      </c>
      <c r="U76" s="104">
        <f t="shared" si="57"/>
        <v>1880.8883361594055</v>
      </c>
      <c r="V76" s="104">
        <f t="shared" si="57"/>
        <v>1692.799502543465</v>
      </c>
      <c r="W76" s="104">
        <f t="shared" si="57"/>
        <v>1523.5195522891158</v>
      </c>
      <c r="Y76" s="182">
        <f>SUM(L76:W76)</f>
        <v>34837.339622618274</v>
      </c>
    </row>
    <row r="77" spans="6:25" ht="7.5" customHeight="1" x14ac:dyDescent="0.3">
      <c r="F77" s="49"/>
      <c r="Y77" s="183"/>
    </row>
    <row r="78" spans="6:25" ht="18" x14ac:dyDescent="0.3">
      <c r="F78" s="181" t="s">
        <v>93</v>
      </c>
      <c r="L78" s="104">
        <f>L76</f>
        <v>4854.9015593220311</v>
      </c>
      <c r="M78" s="104">
        <f t="shared" ref="M78:W78" si="58">L78+M76</f>
        <v>9224.3129627118615</v>
      </c>
      <c r="N78" s="104">
        <f t="shared" si="58"/>
        <v>13156.783225762712</v>
      </c>
      <c r="O78" s="104">
        <f t="shared" si="58"/>
        <v>16696.006462508478</v>
      </c>
      <c r="P78" s="104">
        <f t="shared" si="58"/>
        <v>19881.307375579661</v>
      </c>
      <c r="Q78" s="104">
        <f t="shared" si="58"/>
        <v>22748.078197343726</v>
      </c>
      <c r="R78" s="104">
        <f t="shared" si="58"/>
        <v>25328.171936931387</v>
      </c>
      <c r="S78" s="104">
        <f t="shared" si="58"/>
        <v>27650.256302560283</v>
      </c>
      <c r="T78" s="104">
        <f t="shared" si="58"/>
        <v>29740.132231626289</v>
      </c>
      <c r="U78" s="104">
        <f t="shared" si="58"/>
        <v>31621.020567785694</v>
      </c>
      <c r="V78" s="104">
        <f t="shared" si="58"/>
        <v>33313.820070329159</v>
      </c>
      <c r="W78" s="104">
        <f t="shared" si="58"/>
        <v>34837.339622618274</v>
      </c>
      <c r="Y78" s="184">
        <f>Y76/$L$45</f>
        <v>0.717570463519</v>
      </c>
    </row>
    <row r="79" spans="6:25" ht="23.25" customHeight="1" x14ac:dyDescent="0.3"/>
    <row r="80" spans="6:25" s="174" customFormat="1" ht="18" x14ac:dyDescent="0.3">
      <c r="F80" s="173" t="s">
        <v>91</v>
      </c>
      <c r="H80" s="186">
        <v>0.2</v>
      </c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</row>
    <row r="81" spans="6:25" ht="7.5" customHeight="1" x14ac:dyDescent="0.3">
      <c r="F81" s="176"/>
      <c r="H81" s="177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</row>
    <row r="82" spans="6:25" x14ac:dyDescent="0.3">
      <c r="F82" s="49" t="s">
        <v>101</v>
      </c>
      <c r="L82" s="179">
        <f>$L$30</f>
        <v>61243.642711864406</v>
      </c>
      <c r="M82" s="167">
        <f>L83</f>
        <v>48994.914169491531</v>
      </c>
      <c r="N82" s="167">
        <f t="shared" ref="N82" si="59">M83</f>
        <v>39195.931335593225</v>
      </c>
      <c r="O82" s="167">
        <f t="shared" ref="O82" si="60">N83</f>
        <v>31356.745068474582</v>
      </c>
      <c r="P82" s="167">
        <f t="shared" ref="P82" si="61">O83</f>
        <v>25085.396054779667</v>
      </c>
      <c r="Q82" s="167">
        <f t="shared" ref="Q82" si="62">P83</f>
        <v>20068.316843823734</v>
      </c>
      <c r="R82" s="167">
        <f t="shared" ref="R82" si="63">Q83</f>
        <v>16054.653475058987</v>
      </c>
      <c r="S82" s="167">
        <f t="shared" ref="S82" si="64">R83</f>
        <v>12843.72278004719</v>
      </c>
      <c r="T82" s="167">
        <f t="shared" ref="T82" si="65">S83</f>
        <v>10274.978224037754</v>
      </c>
      <c r="U82" s="167">
        <f t="shared" ref="U82" si="66">T83</f>
        <v>8219.9825792302036</v>
      </c>
      <c r="V82" s="167">
        <f t="shared" ref="V82" si="67">U83</f>
        <v>6575.9860633841636</v>
      </c>
      <c r="W82" s="167">
        <f t="shared" ref="W82" si="68">V83</f>
        <v>5260.7888507073312</v>
      </c>
    </row>
    <row r="83" spans="6:25" x14ac:dyDescent="0.3">
      <c r="F83" s="49" t="s">
        <v>95</v>
      </c>
      <c r="L83" s="180">
        <f>L82*(1-$H$80)</f>
        <v>48994.914169491531</v>
      </c>
      <c r="M83" s="180">
        <f t="shared" ref="M83:W83" si="69">M82*(1-$H$80)</f>
        <v>39195.931335593225</v>
      </c>
      <c r="N83" s="180">
        <f t="shared" si="69"/>
        <v>31356.745068474582</v>
      </c>
      <c r="O83" s="180">
        <f t="shared" si="69"/>
        <v>25085.396054779667</v>
      </c>
      <c r="P83" s="180">
        <f t="shared" si="69"/>
        <v>20068.316843823734</v>
      </c>
      <c r="Q83" s="180">
        <f t="shared" si="69"/>
        <v>16054.653475058987</v>
      </c>
      <c r="R83" s="180">
        <f t="shared" si="69"/>
        <v>12843.72278004719</v>
      </c>
      <c r="S83" s="180">
        <f t="shared" si="69"/>
        <v>10274.978224037754</v>
      </c>
      <c r="T83" s="180">
        <f t="shared" si="69"/>
        <v>8219.9825792302036</v>
      </c>
      <c r="U83" s="180">
        <f t="shared" si="69"/>
        <v>6575.9860633841636</v>
      </c>
      <c r="V83" s="180">
        <f t="shared" si="69"/>
        <v>5260.7888507073312</v>
      </c>
      <c r="W83" s="180">
        <f t="shared" si="69"/>
        <v>4208.631080565865</v>
      </c>
    </row>
    <row r="84" spans="6:25" ht="9" customHeight="1" x14ac:dyDescent="0.3"/>
    <row r="85" spans="6:25" x14ac:dyDescent="0.3">
      <c r="F85" s="49" t="s">
        <v>96</v>
      </c>
      <c r="L85" s="179">
        <f>$L$42</f>
        <v>12694.627118644068</v>
      </c>
      <c r="M85" s="167">
        <f>L85-L86</f>
        <v>10155.701694915255</v>
      </c>
      <c r="N85" s="167">
        <f t="shared" ref="N85" si="70">M85-M86</f>
        <v>8124.5613559322037</v>
      </c>
      <c r="O85" s="167">
        <f t="shared" ref="O85" si="71">N85-N86</f>
        <v>6499.6490847457626</v>
      </c>
      <c r="P85" s="167">
        <f t="shared" ref="P85" si="72">O85-O86</f>
        <v>5199.7192677966104</v>
      </c>
      <c r="Q85" s="167">
        <f t="shared" ref="Q85" si="73">P85-P86</f>
        <v>4159.7754142372887</v>
      </c>
      <c r="R85" s="167">
        <f t="shared" ref="R85" si="74">Q85-Q86</f>
        <v>3327.8203313898312</v>
      </c>
      <c r="S85" s="167">
        <f t="shared" ref="S85" si="75">R85-R86</f>
        <v>2662.2562651118651</v>
      </c>
      <c r="T85" s="167">
        <f t="shared" ref="T85" si="76">S85-S86</f>
        <v>2129.8050120894923</v>
      </c>
      <c r="U85" s="167">
        <f t="shared" ref="U85" si="77">T85-T86</f>
        <v>1703.8440096715938</v>
      </c>
      <c r="V85" s="167">
        <f t="shared" ref="V85" si="78">U85-U86</f>
        <v>1363.0752077372749</v>
      </c>
      <c r="W85" s="167">
        <f t="shared" ref="W85" si="79">V85-V86</f>
        <v>1090.46016618982</v>
      </c>
    </row>
    <row r="86" spans="6:25" x14ac:dyDescent="0.3">
      <c r="F86" s="49" t="s">
        <v>94</v>
      </c>
      <c r="L86" s="180">
        <f>L85*$H$80</f>
        <v>2538.9254237288137</v>
      </c>
      <c r="M86" s="180">
        <f t="shared" ref="M86:W86" si="80">M85*$H$80</f>
        <v>2031.1403389830512</v>
      </c>
      <c r="N86" s="180">
        <f t="shared" si="80"/>
        <v>1624.9122711864409</v>
      </c>
      <c r="O86" s="180">
        <f t="shared" si="80"/>
        <v>1299.9298169491526</v>
      </c>
      <c r="P86" s="180">
        <f t="shared" si="80"/>
        <v>1039.9438535593222</v>
      </c>
      <c r="Q86" s="180">
        <f t="shared" si="80"/>
        <v>831.95508284745779</v>
      </c>
      <c r="R86" s="180">
        <f t="shared" si="80"/>
        <v>665.56406627796628</v>
      </c>
      <c r="S86" s="180">
        <f t="shared" si="80"/>
        <v>532.45125302237307</v>
      </c>
      <c r="T86" s="180">
        <f t="shared" si="80"/>
        <v>425.9610024178985</v>
      </c>
      <c r="U86" s="180">
        <f t="shared" si="80"/>
        <v>340.76880193431879</v>
      </c>
      <c r="V86" s="180">
        <f t="shared" si="80"/>
        <v>272.61504154745501</v>
      </c>
      <c r="W86" s="180">
        <f t="shared" si="80"/>
        <v>218.09203323796402</v>
      </c>
    </row>
    <row r="87" spans="6:25" ht="6.75" customHeight="1" x14ac:dyDescent="0.3"/>
    <row r="88" spans="6:25" x14ac:dyDescent="0.3">
      <c r="F88" s="49" t="s">
        <v>97</v>
      </c>
      <c r="L88" s="104">
        <f t="shared" ref="L88:W88" si="81">L82-L83</f>
        <v>12248.728542372875</v>
      </c>
      <c r="M88" s="104">
        <f t="shared" si="81"/>
        <v>9798.9828338983061</v>
      </c>
      <c r="N88" s="104">
        <f t="shared" si="81"/>
        <v>7839.1862671186427</v>
      </c>
      <c r="O88" s="104">
        <f t="shared" si="81"/>
        <v>6271.3490136949149</v>
      </c>
      <c r="P88" s="104">
        <f t="shared" si="81"/>
        <v>5017.0792109559334</v>
      </c>
      <c r="Q88" s="104">
        <f t="shared" si="81"/>
        <v>4013.6633687647463</v>
      </c>
      <c r="R88" s="104">
        <f t="shared" si="81"/>
        <v>3210.9306950117971</v>
      </c>
      <c r="S88" s="104">
        <f t="shared" si="81"/>
        <v>2568.7445560094366</v>
      </c>
      <c r="T88" s="104">
        <f t="shared" si="81"/>
        <v>2054.99564480755</v>
      </c>
      <c r="U88" s="104">
        <f t="shared" si="81"/>
        <v>1643.99651584604</v>
      </c>
      <c r="V88" s="104">
        <f t="shared" si="81"/>
        <v>1315.1972126768324</v>
      </c>
      <c r="W88" s="104">
        <f t="shared" si="81"/>
        <v>1052.1577701414662</v>
      </c>
    </row>
    <row r="89" spans="6:25" x14ac:dyDescent="0.3">
      <c r="F89" s="49" t="s">
        <v>98</v>
      </c>
      <c r="L89" s="180">
        <f>L86</f>
        <v>2538.9254237288137</v>
      </c>
      <c r="M89" s="180">
        <f t="shared" ref="M89:W89" si="82">M86</f>
        <v>2031.1403389830512</v>
      </c>
      <c r="N89" s="180">
        <f t="shared" si="82"/>
        <v>1624.9122711864409</v>
      </c>
      <c r="O89" s="180">
        <f t="shared" si="82"/>
        <v>1299.9298169491526</v>
      </c>
      <c r="P89" s="180">
        <f t="shared" si="82"/>
        <v>1039.9438535593222</v>
      </c>
      <c r="Q89" s="180">
        <f t="shared" si="82"/>
        <v>831.95508284745779</v>
      </c>
      <c r="R89" s="180">
        <f t="shared" si="82"/>
        <v>665.56406627796628</v>
      </c>
      <c r="S89" s="180">
        <f t="shared" si="82"/>
        <v>532.45125302237307</v>
      </c>
      <c r="T89" s="180">
        <f t="shared" si="82"/>
        <v>425.9610024178985</v>
      </c>
      <c r="U89" s="180">
        <f t="shared" si="82"/>
        <v>340.76880193431879</v>
      </c>
      <c r="V89" s="180">
        <f t="shared" si="82"/>
        <v>272.61504154745501</v>
      </c>
      <c r="W89" s="180">
        <f t="shared" si="82"/>
        <v>218.09203323796402</v>
      </c>
    </row>
    <row r="90" spans="6:25" ht="8.25" customHeight="1" x14ac:dyDescent="0.3"/>
    <row r="91" spans="6:25" ht="18" x14ac:dyDescent="0.3">
      <c r="F91" s="181" t="s">
        <v>92</v>
      </c>
      <c r="L91" s="104">
        <f>L88-L89</f>
        <v>9709.8031186440621</v>
      </c>
      <c r="M91" s="104">
        <f t="shared" ref="M91:W91" si="83">M88-M89</f>
        <v>7767.842494915255</v>
      </c>
      <c r="N91" s="104">
        <f t="shared" si="83"/>
        <v>6214.2739959322016</v>
      </c>
      <c r="O91" s="104">
        <f t="shared" si="83"/>
        <v>4971.4191967457627</v>
      </c>
      <c r="P91" s="104">
        <f t="shared" si="83"/>
        <v>3977.1353573966112</v>
      </c>
      <c r="Q91" s="104">
        <f t="shared" si="83"/>
        <v>3181.7082859172888</v>
      </c>
      <c r="R91" s="104">
        <f t="shared" si="83"/>
        <v>2545.366628733831</v>
      </c>
      <c r="S91" s="104">
        <f t="shared" si="83"/>
        <v>2036.2933029870635</v>
      </c>
      <c r="T91" s="104">
        <f t="shared" si="83"/>
        <v>1629.0346423896515</v>
      </c>
      <c r="U91" s="104">
        <f t="shared" si="83"/>
        <v>1303.2277139117211</v>
      </c>
      <c r="V91" s="104">
        <f t="shared" si="83"/>
        <v>1042.5821711293775</v>
      </c>
      <c r="W91" s="104">
        <f t="shared" si="83"/>
        <v>834.06573690350228</v>
      </c>
      <c r="Y91" s="182">
        <f>SUM(L91:W91)</f>
        <v>45212.752645606321</v>
      </c>
    </row>
    <row r="92" spans="6:25" ht="7.5" customHeight="1" x14ac:dyDescent="0.3">
      <c r="F92" s="49"/>
      <c r="Y92" s="183"/>
    </row>
    <row r="93" spans="6:25" ht="18" x14ac:dyDescent="0.3">
      <c r="F93" s="181" t="s">
        <v>93</v>
      </c>
      <c r="L93" s="104">
        <f>L91</f>
        <v>9709.8031186440621</v>
      </c>
      <c r="M93" s="104">
        <f t="shared" ref="M93:W93" si="84">L93+M91</f>
        <v>17477.645613559318</v>
      </c>
      <c r="N93" s="104">
        <f t="shared" si="84"/>
        <v>23691.919609491521</v>
      </c>
      <c r="O93" s="104">
        <f t="shared" si="84"/>
        <v>28663.338806237283</v>
      </c>
      <c r="P93" s="104">
        <f t="shared" si="84"/>
        <v>32640.474163633895</v>
      </c>
      <c r="Q93" s="104">
        <f t="shared" si="84"/>
        <v>35822.182449551183</v>
      </c>
      <c r="R93" s="104">
        <f t="shared" si="84"/>
        <v>38367.54907828501</v>
      </c>
      <c r="S93" s="104">
        <f t="shared" si="84"/>
        <v>40403.842381272072</v>
      </c>
      <c r="T93" s="104">
        <f t="shared" si="84"/>
        <v>42032.87702366172</v>
      </c>
      <c r="U93" s="104">
        <f t="shared" si="84"/>
        <v>43336.104737573442</v>
      </c>
      <c r="V93" s="104">
        <f t="shared" si="84"/>
        <v>44378.686908702817</v>
      </c>
      <c r="W93" s="104">
        <f t="shared" si="84"/>
        <v>45212.752645606321</v>
      </c>
      <c r="Y93" s="184">
        <f>Y91/$L$45</f>
        <v>0.93128052326399979</v>
      </c>
    </row>
  </sheetData>
  <sheetProtection algorithmName="SHA-512" hashValue="otCe9x2k/RTDFFsZtYSPtfHhU6CdY0SM1T6JWVsu6t8t2izPv4eMJzHOX2KmD8A1i1lfhGUfDCYG2+h7nYR5AQ==" saltValue="UX5yq7tj3UdltwjcDH5dzA==" spinCount="100000" sheet="1" objects="1" scenarios="1"/>
  <mergeCells count="3">
    <mergeCell ref="H17:H19"/>
    <mergeCell ref="E21:F21"/>
    <mergeCell ref="E32:F32"/>
  </mergeCells>
  <pageMargins left="0.23622047244094491" right="0.33" top="0.53" bottom="0.9" header="0.38" footer="0.51"/>
  <pageSetup paperSize="9" scale="44" orientation="landscape" r:id="rId1"/>
  <headerFooter>
    <oddFooter>&amp;LRamón Fernández
&amp;D   &amp;T&amp;C&amp;F
&amp;A&amp;RInformación confidencial TRANSFOLLOW
No reproducir sin autorización de la compañía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U58"/>
  <sheetViews>
    <sheetView showGridLines="0" zoomScale="60" zoomScaleNormal="60" workbookViewId="0">
      <selection activeCell="T17" sqref="T17"/>
    </sheetView>
  </sheetViews>
  <sheetFormatPr baseColWidth="10" defaultColWidth="11.44140625" defaultRowHeight="14.4" x14ac:dyDescent="0.3"/>
  <cols>
    <col min="1" max="1" width="15.5546875" style="2" customWidth="1"/>
    <col min="2" max="5" width="11.44140625" style="2"/>
    <col min="6" max="6" width="5.77734375" style="2" customWidth="1"/>
    <col min="7" max="7" width="13" style="2" bestFit="1" customWidth="1"/>
    <col min="8" max="17" width="11.44140625" style="2"/>
    <col min="18" max="18" width="13.44140625" style="2" customWidth="1"/>
    <col min="19" max="19" width="3.21875" style="2" customWidth="1"/>
    <col min="20" max="20" width="14.77734375" style="2" customWidth="1"/>
    <col min="21" max="21" width="57.77734375" style="2" customWidth="1"/>
    <col min="22" max="16384" width="11.44140625" style="2"/>
  </cols>
  <sheetData>
    <row r="2" spans="5:21" x14ac:dyDescent="0.3">
      <c r="E2" s="11" t="s">
        <v>113</v>
      </c>
      <c r="G2" s="8">
        <f>0.2</f>
        <v>0.2</v>
      </c>
      <c r="H2" s="8">
        <f>$G$2*(1-$G$2)</f>
        <v>0.16000000000000003</v>
      </c>
      <c r="I2" s="8">
        <f>$G$2*(1-H3)</f>
        <v>0.12799999999999997</v>
      </c>
      <c r="J2" s="8">
        <f>$G$2*(1-I3)</f>
        <v>0.1024</v>
      </c>
      <c r="K2" s="8">
        <f t="shared" ref="K2:R2" si="0">$G$2*(1-J3)</f>
        <v>8.1919999999999993E-2</v>
      </c>
      <c r="L2" s="8">
        <f t="shared" si="0"/>
        <v>6.5535999999999997E-2</v>
      </c>
      <c r="M2" s="8">
        <f t="shared" si="0"/>
        <v>5.2428799999999991E-2</v>
      </c>
      <c r="N2" s="8">
        <f t="shared" si="0"/>
        <v>4.1943040000000001E-2</v>
      </c>
      <c r="O2" s="8">
        <f t="shared" si="0"/>
        <v>3.3554431999999988E-2</v>
      </c>
      <c r="P2" s="8">
        <f t="shared" si="0"/>
        <v>2.6843545599999998E-2</v>
      </c>
      <c r="Q2" s="8">
        <f t="shared" si="0"/>
        <v>2.1474836479999995E-2</v>
      </c>
      <c r="R2" s="8">
        <f t="shared" si="0"/>
        <v>1.7179869183999986E-2</v>
      </c>
    </row>
    <row r="3" spans="5:21" x14ac:dyDescent="0.3">
      <c r="G3" s="9"/>
      <c r="H3" s="10">
        <f>G2+H2</f>
        <v>0.36000000000000004</v>
      </c>
      <c r="I3" s="10">
        <f t="shared" ref="I3:R3" si="1">H3+I2</f>
        <v>0.48799999999999999</v>
      </c>
      <c r="J3" s="10">
        <f t="shared" si="1"/>
        <v>0.59040000000000004</v>
      </c>
      <c r="K3" s="10">
        <f t="shared" si="1"/>
        <v>0.67232000000000003</v>
      </c>
      <c r="L3" s="10">
        <f t="shared" si="1"/>
        <v>0.73785600000000007</v>
      </c>
      <c r="M3" s="10">
        <f t="shared" si="1"/>
        <v>0.79028480000000001</v>
      </c>
      <c r="N3" s="10">
        <f t="shared" si="1"/>
        <v>0.83222784000000005</v>
      </c>
      <c r="O3" s="10">
        <f t="shared" si="1"/>
        <v>0.86578227200000002</v>
      </c>
      <c r="P3" s="10">
        <f t="shared" si="1"/>
        <v>0.89262581760000004</v>
      </c>
      <c r="Q3" s="10">
        <f t="shared" si="1"/>
        <v>0.91410065408000007</v>
      </c>
      <c r="R3" s="10">
        <f t="shared" si="1"/>
        <v>0.93128052326400002</v>
      </c>
    </row>
    <row r="5" spans="5:21" x14ac:dyDescent="0.3">
      <c r="G5" s="15" t="str">
        <f>'Buss Case e-CMR'!L21</f>
        <v>Mes 1</v>
      </c>
      <c r="H5" s="15" t="str">
        <f>'Buss Case e-CMR'!M21</f>
        <v>Mes 2</v>
      </c>
      <c r="I5" s="15" t="str">
        <f>'Buss Case e-CMR'!N21</f>
        <v>Mes 3</v>
      </c>
      <c r="J5" s="15" t="str">
        <f>'Buss Case e-CMR'!O21</f>
        <v>Mes 4</v>
      </c>
      <c r="K5" s="15" t="str">
        <f>'Buss Case e-CMR'!P21</f>
        <v>Mes 5</v>
      </c>
      <c r="L5" s="15" t="str">
        <f>'Buss Case e-CMR'!Q21</f>
        <v>Mes 6</v>
      </c>
      <c r="M5" s="15" t="str">
        <f>'Buss Case e-CMR'!R21</f>
        <v>Mes 7</v>
      </c>
      <c r="N5" s="15" t="str">
        <f>'Buss Case e-CMR'!S21</f>
        <v>Mes 8</v>
      </c>
      <c r="O5" s="15" t="str">
        <f>'Buss Case e-CMR'!T21</f>
        <v>Mes 9</v>
      </c>
      <c r="P5" s="15" t="str">
        <f>'Buss Case e-CMR'!U21</f>
        <v>Mes 10</v>
      </c>
      <c r="Q5" s="15" t="str">
        <f>'Buss Case e-CMR'!V21</f>
        <v>Mes 11</v>
      </c>
      <c r="R5" s="15" t="str">
        <f>'Buss Case e-CMR'!W21</f>
        <v>Mes 12</v>
      </c>
    </row>
    <row r="7" spans="5:21" hidden="1" x14ac:dyDescent="0.3">
      <c r="E7" s="5" t="str">
        <f>'Buss Case e-CMR'!F45</f>
        <v>Ahorros mensuales (si la evolución fuera instantánea)</v>
      </c>
      <c r="G7" s="4">
        <f>'Buss Case e-CMR'!L45</f>
        <v>48549.015593220334</v>
      </c>
      <c r="H7" s="4">
        <f>'Buss Case e-CMR'!M45</f>
        <v>48549.015593220334</v>
      </c>
      <c r="I7" s="4">
        <f>'Buss Case e-CMR'!N45</f>
        <v>48549.015593220334</v>
      </c>
      <c r="J7" s="4">
        <f>'Buss Case e-CMR'!O45</f>
        <v>48549.015593220334</v>
      </c>
      <c r="K7" s="4">
        <f>'Buss Case e-CMR'!P45</f>
        <v>48549.015593220334</v>
      </c>
      <c r="L7" s="4">
        <f>'Buss Case e-CMR'!Q45</f>
        <v>48549.015593220334</v>
      </c>
      <c r="M7" s="4">
        <f>'Buss Case e-CMR'!R45</f>
        <v>48549.015593220334</v>
      </c>
      <c r="N7" s="4">
        <f>'Buss Case e-CMR'!S45</f>
        <v>48549.015593220334</v>
      </c>
      <c r="O7" s="4">
        <f>'Buss Case e-CMR'!T45</f>
        <v>48549.015593220334</v>
      </c>
      <c r="P7" s="4">
        <f>'Buss Case e-CMR'!U45</f>
        <v>48549.015593220334</v>
      </c>
      <c r="Q7" s="4">
        <f>'Buss Case e-CMR'!V45</f>
        <v>48549.015593220334</v>
      </c>
      <c r="R7" s="4">
        <f>'Buss Case e-CMR'!W45</f>
        <v>48549.015593220334</v>
      </c>
      <c r="S7" s="4"/>
      <c r="T7" s="4"/>
      <c r="U7" s="4"/>
    </row>
    <row r="8" spans="5:21" x14ac:dyDescent="0.3">
      <c r="E8" s="3" t="s">
        <v>114</v>
      </c>
      <c r="F8" s="6">
        <f>'Buss Case e-CMR'!H50</f>
        <v>0.05</v>
      </c>
      <c r="G8" s="4">
        <f>'Buss Case e-CMR'!L61</f>
        <v>2427.4507796610228</v>
      </c>
      <c r="H8" s="4">
        <f>'Buss Case e-CMR'!M61</f>
        <v>2306.0782406779667</v>
      </c>
      <c r="I8" s="4">
        <f>'Buss Case e-CMR'!N61</f>
        <v>2190.7743286440673</v>
      </c>
      <c r="J8" s="4">
        <f>'Buss Case e-CMR'!O61</f>
        <v>2081.2356122118672</v>
      </c>
      <c r="K8" s="4">
        <f>'Buss Case e-CMR'!P61</f>
        <v>1977.1738316012725</v>
      </c>
      <c r="L8" s="4">
        <f>'Buss Case e-CMR'!Q61</f>
        <v>1878.3151400212071</v>
      </c>
      <c r="M8" s="4">
        <f>'Buss Case e-CMR'!R61</f>
        <v>1784.39938302015</v>
      </c>
      <c r="N8" s="4">
        <f>'Buss Case e-CMR'!S61</f>
        <v>1695.1794138691389</v>
      </c>
      <c r="O8" s="4">
        <f>'Buss Case e-CMR'!T61</f>
        <v>1610.4204431756848</v>
      </c>
      <c r="P8" s="4">
        <f>'Buss Case e-CMR'!U61</f>
        <v>1529.8994210168992</v>
      </c>
      <c r="Q8" s="4">
        <f>'Buss Case e-CMR'!V61</f>
        <v>1453.404449966057</v>
      </c>
      <c r="R8" s="4">
        <f>'Buss Case e-CMR'!W61</f>
        <v>1380.7342274677512</v>
      </c>
      <c r="T8" s="7">
        <f>'Buss Case e-CMR'!Y63</f>
        <v>0.45963991233736345</v>
      </c>
    </row>
    <row r="9" spans="5:21" x14ac:dyDescent="0.3">
      <c r="E9" s="3" t="s">
        <v>114</v>
      </c>
      <c r="F9" s="6">
        <f>'Buss Case e-CMR'!H65</f>
        <v>0.1</v>
      </c>
      <c r="G9" s="4">
        <f>'Buss Case e-CMR'!L76</f>
        <v>4854.9015593220311</v>
      </c>
      <c r="H9" s="4">
        <f>'Buss Case e-CMR'!M76</f>
        <v>4369.4114033898295</v>
      </c>
      <c r="I9" s="4">
        <f>'Buss Case e-CMR'!N76</f>
        <v>3932.47026305085</v>
      </c>
      <c r="J9" s="4">
        <f>'Buss Case e-CMR'!O76</f>
        <v>3539.223236745765</v>
      </c>
      <c r="K9" s="4">
        <f>'Buss Case e-CMR'!P76</f>
        <v>3185.3009130711835</v>
      </c>
      <c r="L9" s="4">
        <f>'Buss Case e-CMR'!Q76</f>
        <v>2866.7708217640666</v>
      </c>
      <c r="M9" s="4">
        <f>'Buss Case e-CMR'!R76</f>
        <v>2580.0937395876613</v>
      </c>
      <c r="N9" s="4">
        <f>'Buss Case e-CMR'!S76</f>
        <v>2322.0843656288957</v>
      </c>
      <c r="O9" s="4">
        <f>'Buss Case e-CMR'!T76</f>
        <v>2089.8759290660064</v>
      </c>
      <c r="P9" s="4">
        <f>'Buss Case e-CMR'!U76</f>
        <v>1880.8883361594055</v>
      </c>
      <c r="Q9" s="4">
        <f>'Buss Case e-CMR'!V76</f>
        <v>1692.799502543465</v>
      </c>
      <c r="R9" s="4">
        <f>'Buss Case e-CMR'!W76</f>
        <v>1523.5195522891158</v>
      </c>
      <c r="T9" s="7">
        <f>'Buss Case e-CMR'!Y78</f>
        <v>0.717570463519</v>
      </c>
    </row>
    <row r="10" spans="5:21" x14ac:dyDescent="0.3">
      <c r="E10" s="3" t="s">
        <v>114</v>
      </c>
      <c r="F10" s="6">
        <f>'Buss Case e-CMR'!H80</f>
        <v>0.2</v>
      </c>
      <c r="G10" s="4">
        <f>'Buss Case e-CMR'!L91</f>
        <v>9709.8031186440621</v>
      </c>
      <c r="H10" s="4">
        <f>'Buss Case e-CMR'!M91</f>
        <v>7767.842494915255</v>
      </c>
      <c r="I10" s="4">
        <f>'Buss Case e-CMR'!N91</f>
        <v>6214.2739959322016</v>
      </c>
      <c r="J10" s="4">
        <f>'Buss Case e-CMR'!O91</f>
        <v>4971.4191967457627</v>
      </c>
      <c r="K10" s="4">
        <f>'Buss Case e-CMR'!P91</f>
        <v>3977.1353573966112</v>
      </c>
      <c r="L10" s="4">
        <f>'Buss Case e-CMR'!Q91</f>
        <v>3181.7082859172888</v>
      </c>
      <c r="M10" s="4">
        <f>'Buss Case e-CMR'!R91</f>
        <v>2545.366628733831</v>
      </c>
      <c r="N10" s="4">
        <f>'Buss Case e-CMR'!S91</f>
        <v>2036.2933029870635</v>
      </c>
      <c r="O10" s="4">
        <f>'Buss Case e-CMR'!T91</f>
        <v>1629.0346423896515</v>
      </c>
      <c r="P10" s="4">
        <f>'Buss Case e-CMR'!U91</f>
        <v>1303.2277139117211</v>
      </c>
      <c r="Q10" s="4">
        <f>'Buss Case e-CMR'!V91</f>
        <v>1042.5821711293775</v>
      </c>
      <c r="R10" s="4">
        <f>'Buss Case e-CMR'!W91</f>
        <v>834.06573690350228</v>
      </c>
      <c r="T10" s="7">
        <f>'Buss Case e-CMR'!Y93</f>
        <v>0.93128052326399979</v>
      </c>
    </row>
    <row r="12" spans="5:21" x14ac:dyDescent="0.3">
      <c r="E12" s="3" t="s">
        <v>115</v>
      </c>
      <c r="F12" s="6">
        <f>'Buss Case e-CMR'!H50</f>
        <v>0.05</v>
      </c>
      <c r="G12" s="4">
        <f>'Buss Case e-CMR'!L63</f>
        <v>2427.4507796610228</v>
      </c>
      <c r="H12" s="4">
        <f>'Buss Case e-CMR'!M63</f>
        <v>4733.5290203389895</v>
      </c>
      <c r="I12" s="4">
        <f>'Buss Case e-CMR'!N63</f>
        <v>6924.3033489830568</v>
      </c>
      <c r="J12" s="4">
        <f>'Buss Case e-CMR'!O63</f>
        <v>9005.5389611949249</v>
      </c>
      <c r="K12" s="4">
        <f>'Buss Case e-CMR'!P63</f>
        <v>10982.712792796197</v>
      </c>
      <c r="L12" s="4">
        <f>'Buss Case e-CMR'!Q63</f>
        <v>12861.027932817404</v>
      </c>
      <c r="M12" s="4">
        <f>'Buss Case e-CMR'!R63</f>
        <v>14645.427315837554</v>
      </c>
      <c r="N12" s="4">
        <f>'Buss Case e-CMR'!S63</f>
        <v>16340.606729706693</v>
      </c>
      <c r="O12" s="4">
        <f>'Buss Case e-CMR'!T63</f>
        <v>17951.027172882379</v>
      </c>
      <c r="P12" s="4">
        <f>'Buss Case e-CMR'!U63</f>
        <v>19480.926593899279</v>
      </c>
      <c r="Q12" s="4">
        <f>'Buss Case e-CMR'!V63</f>
        <v>20934.331043865335</v>
      </c>
      <c r="R12" s="4">
        <f>'Buss Case e-CMR'!W63</f>
        <v>22315.065271333086</v>
      </c>
    </row>
    <row r="13" spans="5:21" x14ac:dyDescent="0.3">
      <c r="E13" s="3" t="s">
        <v>115</v>
      </c>
      <c r="F13" s="6">
        <f>'Buss Case e-CMR'!H65</f>
        <v>0.1</v>
      </c>
      <c r="G13" s="4">
        <f>'Buss Case e-CMR'!L78</f>
        <v>4854.9015593220311</v>
      </c>
      <c r="H13" s="4">
        <f>'Buss Case e-CMR'!M78</f>
        <v>9224.3129627118615</v>
      </c>
      <c r="I13" s="4">
        <f>'Buss Case e-CMR'!N78</f>
        <v>13156.783225762712</v>
      </c>
      <c r="J13" s="4">
        <f>'Buss Case e-CMR'!O78</f>
        <v>16696.006462508478</v>
      </c>
      <c r="K13" s="4">
        <f>'Buss Case e-CMR'!P78</f>
        <v>19881.307375579661</v>
      </c>
      <c r="L13" s="4">
        <f>'Buss Case e-CMR'!Q78</f>
        <v>22748.078197343726</v>
      </c>
      <c r="M13" s="4">
        <f>'Buss Case e-CMR'!R78</f>
        <v>25328.171936931387</v>
      </c>
      <c r="N13" s="4">
        <f>'Buss Case e-CMR'!S78</f>
        <v>27650.256302560283</v>
      </c>
      <c r="O13" s="4">
        <f>'Buss Case e-CMR'!T78</f>
        <v>29740.132231626289</v>
      </c>
      <c r="P13" s="4">
        <f>'Buss Case e-CMR'!U78</f>
        <v>31621.020567785694</v>
      </c>
      <c r="Q13" s="4">
        <f>'Buss Case e-CMR'!V78</f>
        <v>33313.820070329159</v>
      </c>
      <c r="R13" s="4">
        <f>'Buss Case e-CMR'!W78</f>
        <v>34837.339622618274</v>
      </c>
    </row>
    <row r="14" spans="5:21" x14ac:dyDescent="0.3">
      <c r="E14" s="3" t="s">
        <v>115</v>
      </c>
      <c r="F14" s="6">
        <f>'Buss Case e-CMR'!H80</f>
        <v>0.2</v>
      </c>
      <c r="G14" s="4">
        <f>'Buss Case e-CMR'!L93</f>
        <v>9709.8031186440621</v>
      </c>
      <c r="H14" s="4">
        <f>'Buss Case e-CMR'!M93</f>
        <v>17477.645613559318</v>
      </c>
      <c r="I14" s="4">
        <f>'Buss Case e-CMR'!N93</f>
        <v>23691.919609491521</v>
      </c>
      <c r="J14" s="4">
        <f>'Buss Case e-CMR'!O93</f>
        <v>28663.338806237283</v>
      </c>
      <c r="K14" s="4">
        <f>'Buss Case e-CMR'!P93</f>
        <v>32640.474163633895</v>
      </c>
      <c r="L14" s="4">
        <f>'Buss Case e-CMR'!Q93</f>
        <v>35822.182449551183</v>
      </c>
      <c r="M14" s="4">
        <f>'Buss Case e-CMR'!R93</f>
        <v>38367.54907828501</v>
      </c>
      <c r="N14" s="4">
        <f>'Buss Case e-CMR'!S93</f>
        <v>40403.842381272072</v>
      </c>
      <c r="O14" s="4">
        <f>'Buss Case e-CMR'!T93</f>
        <v>42032.87702366172</v>
      </c>
      <c r="P14" s="4">
        <f>'Buss Case e-CMR'!U93</f>
        <v>43336.104737573442</v>
      </c>
      <c r="Q14" s="4">
        <f>'Buss Case e-CMR'!V93</f>
        <v>44378.686908702817</v>
      </c>
      <c r="R14" s="4">
        <f>'Buss Case e-CMR'!W93</f>
        <v>45212.752645606321</v>
      </c>
    </row>
    <row r="38" spans="2:21" ht="23.4" x14ac:dyDescent="0.45">
      <c r="D38" s="16" t="s">
        <v>140</v>
      </c>
      <c r="T38" s="13" t="s">
        <v>139</v>
      </c>
    </row>
    <row r="40" spans="2:21" x14ac:dyDescent="0.3">
      <c r="G40" s="3" t="str">
        <f>PARAMETROS!B7</f>
        <v>TIEMPO DE DEDICACIÓN POR DOCUMENTO DE PORTE EN PAPEL (MINUTOS)</v>
      </c>
      <c r="H40" s="2">
        <f>PARAMETROS!D7</f>
        <v>26.7</v>
      </c>
      <c r="T40" s="18">
        <f>'Buss Case e-CMR'!J23-'Buss Case e-CMR'!J34</f>
        <v>13608.135593220337</v>
      </c>
      <c r="U40" s="19" t="s">
        <v>137</v>
      </c>
    </row>
    <row r="41" spans="2:21" x14ac:dyDescent="0.3">
      <c r="T41" s="18">
        <f>'Buss Case e-CMR'!J24-'Buss Case e-CMR'!J35-'Buss Case e-CMR'!J36</f>
        <v>-673.92000000000019</v>
      </c>
      <c r="U41" s="19" t="s">
        <v>138</v>
      </c>
    </row>
    <row r="42" spans="2:21" ht="28.8" x14ac:dyDescent="0.3">
      <c r="B42" s="17"/>
      <c r="C42" s="17"/>
      <c r="D42" s="17"/>
      <c r="E42" s="17"/>
      <c r="F42" s="17"/>
      <c r="G42" s="1" t="str">
        <f>PARAMETROS!B12</f>
        <v>Nº DE VIAJES REALIZADOS AL MES</v>
      </c>
      <c r="H42" s="17">
        <f>PARAMETROS!D12</f>
        <v>2000</v>
      </c>
      <c r="T42" s="21">
        <f>'Buss Case e-CMR'!J25-'Buss Case e-CMR'!J37</f>
        <v>17856</v>
      </c>
      <c r="U42" s="20" t="s">
        <v>157</v>
      </c>
    </row>
    <row r="43" spans="2:21" ht="28.8" x14ac:dyDescent="0.3">
      <c r="B43" s="17"/>
      <c r="C43" s="17"/>
      <c r="D43" s="17"/>
      <c r="E43" s="17"/>
      <c r="F43" s="17"/>
      <c r="G43" s="1" t="str">
        <f>PARAMETROS!B13</f>
        <v>RATIO VIAJES NACIONALES SOBRE EL TOTAL</v>
      </c>
      <c r="H43" s="25">
        <f>PARAMETROS!D13</f>
        <v>0.6</v>
      </c>
      <c r="T43" s="21">
        <f>'Buss Case e-CMR'!J26-'Buss Case e-CMR'!J38</f>
        <v>892.80000000000007</v>
      </c>
      <c r="U43" s="20" t="s">
        <v>156</v>
      </c>
    </row>
    <row r="44" spans="2:21" ht="28.8" x14ac:dyDescent="0.3">
      <c r="B44" s="17"/>
      <c r="C44" s="17"/>
      <c r="D44" s="17"/>
      <c r="E44" s="17"/>
      <c r="F44" s="17"/>
      <c r="G44" s="1" t="str">
        <f>PARAMETROS!B17</f>
        <v>Nº DE CARTAS DE PORTE PROMEDIO POR VIAJE NACIONAL</v>
      </c>
      <c r="H44" s="17">
        <f>PARAMETROS!D17</f>
        <v>1.8</v>
      </c>
      <c r="T44" s="21">
        <f>'Buss Case e-CMR'!J27-'Buss Case e-CMR'!J39</f>
        <v>15440</v>
      </c>
      <c r="U44" s="20" t="s">
        <v>155</v>
      </c>
    </row>
    <row r="45" spans="2:21" ht="28.8" x14ac:dyDescent="0.3">
      <c r="B45" s="17"/>
      <c r="C45" s="17"/>
      <c r="D45" s="17"/>
      <c r="E45" s="17"/>
      <c r="F45" s="17"/>
      <c r="G45" s="1" t="str">
        <f>PARAMETROS!B18</f>
        <v>Nº DE CMRs PROMEDIO POR VIAJE INTERNACIONAL</v>
      </c>
      <c r="H45" s="17">
        <f>PARAMETROS!D18</f>
        <v>2.5</v>
      </c>
      <c r="T45" s="21">
        <f>'Buss Case e-CMR'!J28-'Buss Case e-CMR'!J40</f>
        <v>775</v>
      </c>
      <c r="U45" s="20" t="s">
        <v>154</v>
      </c>
    </row>
    <row r="46" spans="2:21" ht="28.8" x14ac:dyDescent="0.3">
      <c r="B46" s="17"/>
      <c r="C46" s="17"/>
      <c r="D46" s="17"/>
      <c r="E46" s="17"/>
      <c r="F46" s="17"/>
      <c r="G46" s="26" t="str">
        <f>PARAMETROS!B26</f>
        <v>PRECIO DE COMPRA DE CMR / CDP EN PAPEL (cuaderno 25 juegos)</v>
      </c>
      <c r="H46" s="27">
        <f>PARAMETROS!D26</f>
        <v>5.45</v>
      </c>
      <c r="T46" s="21">
        <f>'Buss Case e-CMR'!J29-'Buss Case e-CMR'!J41</f>
        <v>651</v>
      </c>
      <c r="U46" s="20" t="s">
        <v>158</v>
      </c>
    </row>
    <row r="47" spans="2:21" x14ac:dyDescent="0.3">
      <c r="B47" s="17"/>
      <c r="C47" s="17"/>
      <c r="D47" s="17"/>
      <c r="E47" s="17"/>
      <c r="F47" s="17"/>
      <c r="G47" s="28" t="str">
        <f>PARAMETROS!B21</f>
        <v>FACTURACIÓN PROMEDIO POR VIAJE REALIZADO (NACIONAL)</v>
      </c>
      <c r="H47" s="29">
        <f>PARAMETROS!D21</f>
        <v>550</v>
      </c>
      <c r="T47" s="14"/>
      <c r="U47" s="12"/>
    </row>
    <row r="48" spans="2:21" ht="36" x14ac:dyDescent="0.35">
      <c r="B48" s="24"/>
      <c r="C48" s="24"/>
      <c r="D48" s="24"/>
      <c r="E48" s="24"/>
      <c r="F48" s="24"/>
      <c r="G48" s="32" t="str">
        <f>PARAMETROS!B22</f>
        <v>FACTURACIÓN PROMEDIO POR VIAJE REALIZADO (INTERNACIONAL)</v>
      </c>
      <c r="H48" s="33">
        <f>PARAMETROS!D22</f>
        <v>1500</v>
      </c>
      <c r="T48" s="23">
        <f>'Buss Case e-CMR'!J30-'Buss Case e-CMR'!J42</f>
        <v>48549.015593220334</v>
      </c>
      <c r="U48" s="22" t="s">
        <v>159</v>
      </c>
    </row>
    <row r="49" spans="2:21" x14ac:dyDescent="0.3">
      <c r="B49" s="17"/>
      <c r="C49" s="17"/>
      <c r="D49" s="17"/>
      <c r="E49" s="17"/>
      <c r="F49" s="17"/>
      <c r="G49" s="30" t="str">
        <f>PARAMETROS!B41</f>
        <v>% DE LA FACTURACIÓN QUE NO SE LLEGA ANUALMENTE A COBRAR</v>
      </c>
      <c r="H49" s="31">
        <f>PARAMETROS!D41</f>
        <v>1.2E-2</v>
      </c>
      <c r="T49" s="4"/>
      <c r="U49" s="12"/>
    </row>
    <row r="50" spans="2:21" x14ac:dyDescent="0.3">
      <c r="B50" s="17"/>
      <c r="C50" s="17"/>
      <c r="D50" s="17"/>
      <c r="E50" s="17"/>
      <c r="F50" s="17"/>
      <c r="G50" s="30" t="str">
        <f>PARAMETROS!B44</f>
        <v>% DE LA FACTURACIÓN QUE SE COBRA CON 6 MESES O MÁS DE RETRASO</v>
      </c>
      <c r="H50" s="31">
        <f>PARAMETROS!D44</f>
        <v>1.4999999999999999E-2</v>
      </c>
      <c r="T50" s="4"/>
    </row>
    <row r="51" spans="2:21" x14ac:dyDescent="0.3">
      <c r="B51" s="17"/>
      <c r="C51" s="17"/>
      <c r="D51" s="17"/>
      <c r="E51" s="17"/>
      <c r="F51" s="17"/>
      <c r="G51" s="17"/>
      <c r="H51" s="17"/>
      <c r="T51" s="4"/>
    </row>
    <row r="52" spans="2:21" x14ac:dyDescent="0.3">
      <c r="B52" s="17"/>
      <c r="C52" s="17"/>
      <c r="D52" s="17"/>
      <c r="E52" s="17"/>
      <c r="F52" s="17"/>
      <c r="G52" s="1" t="str">
        <f>PARAMETROS!B50</f>
        <v>DÍAS DE RETRASO PROMEDIO EN CERRAR (CONSENSUAR) UN VIAJE NACIONAL</v>
      </c>
      <c r="H52" s="17">
        <f>PARAMETROS!D50</f>
        <v>3</v>
      </c>
    </row>
    <row r="53" spans="2:21" x14ac:dyDescent="0.3">
      <c r="B53" s="17"/>
      <c r="C53" s="17"/>
      <c r="D53" s="17"/>
      <c r="E53" s="17"/>
      <c r="F53" s="17"/>
      <c r="G53" s="1" t="str">
        <f>PARAMETROS!B51</f>
        <v>DÍAS DE RETRASO PROMEDIO EN CERRAR (CONSENSUAR) UN VIAJE INTERNACIONAL</v>
      </c>
      <c r="H53" s="17">
        <f>PARAMETROS!D51</f>
        <v>8</v>
      </c>
    </row>
    <row r="54" spans="2:21" x14ac:dyDescent="0.3">
      <c r="B54" s="17"/>
      <c r="C54" s="17"/>
      <c r="D54" s="17"/>
      <c r="E54" s="17"/>
      <c r="F54" s="17"/>
      <c r="G54" s="17"/>
      <c r="H54" s="17"/>
    </row>
    <row r="55" spans="2:21" x14ac:dyDescent="0.3">
      <c r="B55" s="17"/>
      <c r="C55" s="17"/>
      <c r="D55" s="17"/>
      <c r="E55" s="17"/>
      <c r="F55" s="17"/>
      <c r="G55" s="30" t="str">
        <f>PARAMETROS!B56</f>
        <v>% DE LA FACTURACIÓN ANUAL AFECTADO POR LITIGIOS</v>
      </c>
      <c r="H55" s="31">
        <f>PARAMETROS!D56</f>
        <v>0.01</v>
      </c>
    </row>
    <row r="56" spans="2:21" x14ac:dyDescent="0.3">
      <c r="B56" s="17"/>
      <c r="C56" s="17"/>
      <c r="D56" s="17"/>
      <c r="E56" s="17"/>
      <c r="F56" s="17"/>
      <c r="G56" s="30" t="str">
        <f>PARAMETROS!B64</f>
        <v>% DE LA FACTURACIÓN ANUAL AFECTADO POR SANCIONES EN INSPECCIÓN</v>
      </c>
      <c r="H56" s="31">
        <f>PARAMETROS!D64</f>
        <v>7.0000000000000001E-3</v>
      </c>
    </row>
    <row r="58" spans="2:21" x14ac:dyDescent="0.3">
      <c r="B58" s="17"/>
      <c r="C58" s="17"/>
      <c r="D58" s="17"/>
      <c r="E58" s="17"/>
      <c r="F58" s="17"/>
      <c r="G58" s="17"/>
      <c r="H58" s="17"/>
    </row>
  </sheetData>
  <sheetProtection algorithmName="SHA-512" hashValue="Ei3z0fmJsa3XFVR9ZV08KERtxcEvy/S6mZYTfaHoHiwf2XkcfQ6ZOWVmEDbK2qCA61i6ntcLPXJtTPhE4e6dXA==" saltValue="kq6xHmX7TJnUNCoF+W6Asg==" spinCount="100000" sheet="1" objects="1" scenarios="1"/>
  <pageMargins left="0.3" right="0.23" top="0.69" bottom="0.68" header="0.31496062992125984" footer="0.31496062992125984"/>
  <pageSetup paperSize="9" scale="68" orientation="landscape" r:id="rId1"/>
  <headerFooter>
    <oddFooter>&amp;LRamón Fernández
&amp;D  &amp;T&amp;C&amp;F
&amp;A&amp;RInformación confidencial TRANSFOLLOW
No reproducir sin autorización de la compañía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PARAMETROS</vt:lpstr>
      <vt:lpstr>Buss Case e-CMR</vt:lpstr>
      <vt:lpstr>GRÁFICAS</vt:lpstr>
      <vt:lpstr>'Buss Case e-CMR'!Área_de_impresión</vt:lpstr>
      <vt:lpstr>GRÁFICAS!Área_de_impresión</vt:lpstr>
      <vt:lpstr>PARAMETROS!Área_de_impresión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hlip</dc:creator>
  <cp:lastModifiedBy>34607</cp:lastModifiedBy>
  <cp:lastPrinted>2020-06-09T09:40:00Z</cp:lastPrinted>
  <dcterms:created xsi:type="dcterms:W3CDTF">2017-07-06T08:11:54Z</dcterms:created>
  <dcterms:modified xsi:type="dcterms:W3CDTF">2021-02-11T17:58:18Z</dcterms:modified>
</cp:coreProperties>
</file>